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ТСЖ КО ТР 2015" sheetId="1" r:id="rId1"/>
  </sheets>
  <definedNames>
    <definedName name="_xlnm._FilterDatabase" localSheetId="0" hidden="1">'ТСЖ КО ТР 2015'!$B$6:$G$214</definedName>
  </definedNames>
  <calcPr fullCalcOnLoad="1"/>
</workbook>
</file>

<file path=xl/sharedStrings.xml><?xml version="1.0" encoding="utf-8"?>
<sst xmlns="http://schemas.openxmlformats.org/spreadsheetml/2006/main" count="416" uniqueCount="87">
  <si>
    <t>управляющей компанией ООО "ЖИЛСТРОЙСЕРВИС"</t>
  </si>
  <si>
    <t>Работы</t>
  </si>
  <si>
    <t>Адрес</t>
  </si>
  <si>
    <t>Дата</t>
  </si>
  <si>
    <t>ЖСС-ТСЖ, сумма</t>
  </si>
  <si>
    <t>Ремонт лестничных клеток</t>
  </si>
  <si>
    <t>Общестроительные</t>
  </si>
  <si>
    <t>Бульвар Трудящихся, д.35 к.1, д. 39</t>
  </si>
  <si>
    <t xml:space="preserve">  - Б.Трудящихся, д.35, корп.1</t>
  </si>
  <si>
    <t xml:space="preserve">  - Б.Трудящихся, д.39</t>
  </si>
  <si>
    <t>Санитарно-технические работы</t>
  </si>
  <si>
    <t>Бульвар Трудящихся, д.35 к.1, к 2,  д 39, Заводской пр. д. 40,44,48,54</t>
  </si>
  <si>
    <t xml:space="preserve">  - Б.Трудящихся, д.35, корп.2</t>
  </si>
  <si>
    <t xml:space="preserve">  - Заводской пр., д.40</t>
  </si>
  <si>
    <t xml:space="preserve">  - Заводской пр., д.44</t>
  </si>
  <si>
    <t xml:space="preserve">  - Заводской пр., д.48</t>
  </si>
  <si>
    <t xml:space="preserve">  - Заводской пр., д.54</t>
  </si>
  <si>
    <t>Электротехнические работы</t>
  </si>
  <si>
    <t>Бульвар Трудящихся, д.35 к.1, к 2, д 39, Заводской пр. д. 40</t>
  </si>
  <si>
    <t>итого за январь</t>
  </si>
  <si>
    <t>Заводской пр. д.40 3,4 пар.</t>
  </si>
  <si>
    <t>Бульвар Трудящихся, д.35, к. 1, к.2, д. 39, Заводской пр. д. 40,44,48,54</t>
  </si>
  <si>
    <t xml:space="preserve">  - Б. Трудящихся, д.35, корп.2</t>
  </si>
  <si>
    <t xml:space="preserve">  - Б. Трудящихся, д.35, корп.1</t>
  </si>
  <si>
    <t>Бульвар Трудящихся, д.39, Заводской пр. д. 40,54</t>
  </si>
  <si>
    <t>итого за февраль</t>
  </si>
  <si>
    <t>Бульвар Трудящихся, д.35, к.1, к. 2, д. 39, Заводской пр. д. 40,44,54</t>
  </si>
  <si>
    <t>Бульвар Трудящихся, д.35, к.2, к.3, д. 39, Заводской пр. д. 40,54</t>
  </si>
  <si>
    <t xml:space="preserve">  - Б. Трудящихся, д.35, корп.3</t>
  </si>
  <si>
    <t>Заводской пр. д.40-5,6 пар.</t>
  </si>
  <si>
    <t>Ремонт водомерных узлов с заменой водосчетчиков</t>
  </si>
  <si>
    <t>Бульвар Трудящихся, д.35, к.3, Заводской пр. д. 54</t>
  </si>
  <si>
    <t xml:space="preserve">  - Б.Трудящихся, д.35, корп.3</t>
  </si>
  <si>
    <t>итого за март</t>
  </si>
  <si>
    <t>ИТОГО I квартал</t>
  </si>
  <si>
    <t>Бульвар Трудящихся, д.35 к.1, к. 2, д. 39, Заводской пр., д. 40,44,48,54</t>
  </si>
  <si>
    <t>Бульвар Трудящихся, д.35 к.1, к.2, д. 39, Заводской пр. д. 40,44,54</t>
  </si>
  <si>
    <t>Общестроительные работы</t>
  </si>
  <si>
    <t>Бульвар Трудящихся, д.35 к.1, к 2, к3, д 39, Заводской пр. д. 40,44,48,54</t>
  </si>
  <si>
    <t>итого за апрель</t>
  </si>
  <si>
    <t>Бульвар Трудящихся, д.35 к.1, к. 2, д. 39, Заводской пр., д. 44,48,54</t>
  </si>
  <si>
    <t>Бульвар Трудящихся, д.35 к.1, к.2, д. 39, Заводской пр. д. 40,54</t>
  </si>
  <si>
    <t>Бульвар Трудящихся, д.35 к.1, к 2, к3</t>
  </si>
  <si>
    <t>Ремонт лестничной клетки</t>
  </si>
  <si>
    <t>итого за май</t>
  </si>
  <si>
    <t>Бульвар Трудящихся, д.35 к.1, к. 2, к.3, д. 39, Заводской пр., д. 40,44,48,54</t>
  </si>
  <si>
    <t>Бульвар Трудящихся, д.35 к.1, к.2, к.3, д. 39, Заводской пр. д. 40,44,54</t>
  </si>
  <si>
    <t>Общестроительные работы (ремонт козырьков)</t>
  </si>
  <si>
    <t>Заводской пр., д.48, д.44</t>
  </si>
  <si>
    <t>Общестроительные работы (ремонт крылец)</t>
  </si>
  <si>
    <t>Общестроительные работы (ремонт цоколей)</t>
  </si>
  <si>
    <t>Заводской пр., д.40, д.44, д.48, д.54</t>
  </si>
  <si>
    <t>Ремонт розлива</t>
  </si>
  <si>
    <t>итого июнь</t>
  </si>
  <si>
    <t>ИТОГО II квартал</t>
  </si>
  <si>
    <t>ИТОГО I полугодие</t>
  </si>
  <si>
    <t>итого июль</t>
  </si>
  <si>
    <t>Итого за 2015 год</t>
  </si>
  <si>
    <t>Начислено населению</t>
  </si>
  <si>
    <t>Бульвар Трудящихся, д.35 к.1, к. 2,  д. 39, Заводской пр., д. 40,44,54</t>
  </si>
  <si>
    <t>Бульвар Трудящихся, д.35 к.1, к 2, д.39, Заводской пр., д.40,54</t>
  </si>
  <si>
    <t>Бульвар Трудящихся, д.35 к.1, к. 2,  д. 39, Заводской пр., д. 40,54</t>
  </si>
  <si>
    <t>Бульвар Трудящихся, д.35 к.1, к.2, к.3, Заводской пр. д. 44,54</t>
  </si>
  <si>
    <t>Бульвар Трудящихся, д.35 к.1, к 3, д.39, Заводской пр., д.40,54</t>
  </si>
  <si>
    <t>итого август</t>
  </si>
  <si>
    <t>ИТОГО за 3 кв 2015</t>
  </si>
  <si>
    <t>итого за сентябрь</t>
  </si>
  <si>
    <t>Бульвар Трудящихся, д.35 к. 2,  д. 39</t>
  </si>
  <si>
    <t>Бульвар Трудящихся, д.35 к.1,д.39, Заводской пр. д. 40,44,54</t>
  </si>
  <si>
    <t>Бульвар Трудящихся, д.39</t>
  </si>
  <si>
    <t>Бульвар Трудящихся, д.35 к.1, к.2,д39 Заводской пр. д. 40,54</t>
  </si>
  <si>
    <t xml:space="preserve">итого за октябрь </t>
  </si>
  <si>
    <t>ИТОГО за 4 кв 2015</t>
  </si>
  <si>
    <t>Итого за 9 мес</t>
  </si>
  <si>
    <t>Итого за ноябрь</t>
  </si>
  <si>
    <t>Итого за декабрь</t>
  </si>
  <si>
    <t>Заводской пр., д.40</t>
  </si>
  <si>
    <t>Выполнение текущего ремонта по ТСЖ "Колпинский оазис" за  2015 год</t>
  </si>
  <si>
    <t>Бульвар Трудящихся, д.39, 6,7,8 пар.</t>
  </si>
  <si>
    <t>Сводная по домам:</t>
  </si>
  <si>
    <t xml:space="preserve"> - Б.Трудящихся, д.39</t>
  </si>
  <si>
    <t>Бульвар Трудящихся, д.35, корп.1 - 1 эт., холл</t>
  </si>
  <si>
    <t xml:space="preserve"> Бульвар Трудящихся, д.35, корп.2</t>
  </si>
  <si>
    <t xml:space="preserve"> Бульвар Трудящихся, д.35, корп.2 - 2 пар.</t>
  </si>
  <si>
    <t>Бульвар Трудящихся, д.35, корп.3 - 1,2,3 пар.</t>
  </si>
  <si>
    <t>Бульвар Трудящихся, д.35 к.1,д.39</t>
  </si>
  <si>
    <t>электротехнические работы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</si>
</sst>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33" borderId="10" xfId="52" applyFont="1" applyFill="1" applyBorder="1" applyAlignment="1">
      <alignment horizontal="center" vertical="top"/>
      <protection/>
    </xf>
    <xf numFmtId="0" fontId="5" fillId="0" borderId="10" xfId="52" applyFont="1" applyBorder="1" applyAlignment="1">
      <alignment vertical="top" wrapText="1"/>
      <protection/>
    </xf>
    <xf numFmtId="0" fontId="6" fillId="33" borderId="10" xfId="52" applyFont="1" applyFill="1" applyBorder="1" applyAlignment="1">
      <alignment vertical="top" wrapText="1"/>
      <protection/>
    </xf>
    <xf numFmtId="0" fontId="6" fillId="0" borderId="10" xfId="52" applyFont="1" applyBorder="1" applyAlignment="1">
      <alignment vertical="top" wrapText="1"/>
      <protection/>
    </xf>
    <xf numFmtId="0" fontId="5" fillId="33" borderId="10" xfId="52" applyFont="1" applyFill="1" applyBorder="1" applyAlignment="1">
      <alignment vertical="top" wrapText="1"/>
      <protection/>
    </xf>
    <xf numFmtId="0" fontId="5" fillId="33" borderId="10" xfId="52" applyFont="1" applyFill="1" applyBorder="1" applyAlignment="1">
      <alignment wrapText="1"/>
      <protection/>
    </xf>
    <xf numFmtId="14" fontId="5" fillId="33" borderId="10" xfId="52" applyNumberFormat="1" applyFont="1" applyFill="1" applyBorder="1" applyAlignment="1">
      <alignment wrapText="1"/>
      <protection/>
    </xf>
    <xf numFmtId="0" fontId="1" fillId="0" borderId="10" xfId="0" applyFont="1" applyBorder="1" applyAlignment="1">
      <alignment horizontal="left"/>
    </xf>
    <xf numFmtId="0" fontId="5" fillId="34" borderId="10" xfId="52" applyFont="1" applyFill="1" applyBorder="1" applyAlignment="1">
      <alignment wrapText="1"/>
      <protection/>
    </xf>
    <xf numFmtId="0" fontId="4" fillId="0" borderId="10" xfId="52" applyFont="1" applyBorder="1" applyAlignment="1">
      <alignment horizontal="left" vertical="top"/>
      <protection/>
    </xf>
    <xf numFmtId="0" fontId="4" fillId="0" borderId="10" xfId="52" applyFont="1" applyBorder="1" applyAlignment="1">
      <alignment horizontal="center" vertical="top"/>
      <protection/>
    </xf>
    <xf numFmtId="0" fontId="4" fillId="35" borderId="10" xfId="52" applyFont="1" applyFill="1" applyBorder="1" applyAlignment="1">
      <alignment horizontal="center" vertical="top"/>
      <protection/>
    </xf>
    <xf numFmtId="0" fontId="6" fillId="35" borderId="10" xfId="52" applyFont="1" applyFill="1" applyBorder="1" applyAlignment="1">
      <alignment vertical="top" wrapText="1"/>
      <protection/>
    </xf>
    <xf numFmtId="0" fontId="6" fillId="35" borderId="10" xfId="52" applyFont="1" applyFill="1" applyBorder="1" applyAlignment="1">
      <alignment wrapText="1"/>
      <protection/>
    </xf>
    <xf numFmtId="2" fontId="7" fillId="35" borderId="10" xfId="0" applyNumberFormat="1" applyFont="1" applyFill="1" applyBorder="1" applyAlignment="1">
      <alignment/>
    </xf>
    <xf numFmtId="0" fontId="5" fillId="35" borderId="10" xfId="52" applyFont="1" applyFill="1" applyBorder="1" applyAlignment="1">
      <alignment vertical="top" wrapText="1"/>
      <protection/>
    </xf>
    <xf numFmtId="2" fontId="9" fillId="0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14" fontId="5" fillId="0" borderId="10" xfId="52" applyNumberFormat="1" applyFont="1" applyFill="1" applyBorder="1" applyAlignment="1">
      <alignment wrapText="1"/>
      <protection/>
    </xf>
    <xf numFmtId="0" fontId="37" fillId="0" borderId="10" xfId="0" applyFont="1" applyBorder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2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7" fillId="0" borderId="0" xfId="0" applyFont="1" applyAlignment="1">
      <alignment wrapText="1"/>
    </xf>
    <xf numFmtId="0" fontId="1" fillId="0" borderId="10" xfId="0" applyFont="1" applyFill="1" applyBorder="1" applyAlignment="1">
      <alignment horizontal="left"/>
    </xf>
    <xf numFmtId="0" fontId="5" fillId="0" borderId="10" xfId="52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6" fillId="0" borderId="10" xfId="52" applyFont="1" applyFill="1" applyBorder="1" applyAlignment="1">
      <alignment wrapText="1"/>
      <protection/>
    </xf>
    <xf numFmtId="0" fontId="6" fillId="34" borderId="10" xfId="52" applyFont="1" applyFill="1" applyBorder="1" applyAlignment="1">
      <alignment wrapText="1"/>
      <protection/>
    </xf>
    <xf numFmtId="0" fontId="11" fillId="33" borderId="10" xfId="52" applyFont="1" applyFill="1" applyBorder="1" applyAlignment="1">
      <alignment horizontal="center" vertical="top"/>
      <protection/>
    </xf>
    <xf numFmtId="14" fontId="6" fillId="33" borderId="10" xfId="52" applyNumberFormat="1" applyFont="1" applyFill="1" applyBorder="1" applyAlignment="1">
      <alignment vertical="top" wrapText="1"/>
      <protection/>
    </xf>
    <xf numFmtId="14" fontId="6" fillId="33" borderId="10" xfId="52" applyNumberFormat="1" applyFont="1" applyFill="1" applyBorder="1" applyAlignment="1">
      <alignment wrapText="1"/>
      <protection/>
    </xf>
    <xf numFmtId="0" fontId="7" fillId="0" borderId="10" xfId="0" applyFont="1" applyBorder="1" applyAlignment="1">
      <alignment horizontal="left"/>
    </xf>
    <xf numFmtId="0" fontId="11" fillId="0" borderId="10" xfId="52" applyFont="1" applyBorder="1" applyAlignment="1">
      <alignment horizontal="left" vertical="top"/>
      <protection/>
    </xf>
    <xf numFmtId="0" fontId="11" fillId="0" borderId="10" xfId="52" applyFont="1" applyBorder="1" applyAlignment="1">
      <alignment horizontal="center" vertical="top"/>
      <protection/>
    </xf>
    <xf numFmtId="174" fontId="0" fillId="0" borderId="0" xfId="0" applyNumberFormat="1" applyAlignment="1">
      <alignment/>
    </xf>
    <xf numFmtId="174" fontId="37" fillId="0" borderId="0" xfId="0" applyNumberFormat="1" applyFont="1" applyAlignment="1">
      <alignment/>
    </xf>
    <xf numFmtId="14" fontId="6" fillId="33" borderId="10" xfId="52" applyNumberFormat="1" applyFont="1" applyFill="1" applyBorder="1" applyAlignment="1">
      <alignment horizontal="right" vertical="top" wrapText="1"/>
      <protection/>
    </xf>
    <xf numFmtId="0" fontId="11" fillId="33" borderId="10" xfId="52" applyFont="1" applyFill="1" applyBorder="1" applyAlignment="1">
      <alignment horizontal="left" vertical="top"/>
      <protection/>
    </xf>
    <xf numFmtId="14" fontId="6" fillId="0" borderId="10" xfId="52" applyNumberFormat="1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14" fontId="6" fillId="34" borderId="10" xfId="52" applyNumberFormat="1" applyFont="1" applyFill="1" applyBorder="1" applyAlignment="1">
      <alignment wrapText="1"/>
      <protection/>
    </xf>
    <xf numFmtId="0" fontId="7" fillId="34" borderId="10" xfId="0" applyFont="1" applyFill="1" applyBorder="1" applyAlignment="1">
      <alignment horizontal="left"/>
    </xf>
    <xf numFmtId="0" fontId="37" fillId="34" borderId="0" xfId="0" applyFont="1" applyFill="1" applyAlignment="1">
      <alignment/>
    </xf>
    <xf numFmtId="174" fontId="6" fillId="0" borderId="10" xfId="52" applyNumberFormat="1" applyFont="1" applyFill="1" applyBorder="1" applyAlignment="1">
      <alignment horizontal="right" vertical="top"/>
      <protection/>
    </xf>
    <xf numFmtId="174" fontId="5" fillId="0" borderId="10" xfId="52" applyNumberFormat="1" applyFont="1" applyFill="1" applyBorder="1" applyAlignment="1">
      <alignment horizontal="right" vertical="top"/>
      <protection/>
    </xf>
    <xf numFmtId="174" fontId="0" fillId="0" borderId="0" xfId="0" applyNumberFormat="1" applyFill="1" applyAlignment="1">
      <alignment horizontal="right"/>
    </xf>
    <xf numFmtId="174" fontId="0" fillId="0" borderId="10" xfId="0" applyNumberFormat="1" applyFill="1" applyBorder="1" applyAlignment="1">
      <alignment horizontal="right" wrapText="1"/>
    </xf>
    <xf numFmtId="174" fontId="7" fillId="0" borderId="1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/>
    </xf>
    <xf numFmtId="174" fontId="37" fillId="0" borderId="10" xfId="0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right" vertical="center"/>
    </xf>
    <xf numFmtId="174" fontId="6" fillId="0" borderId="10" xfId="52" applyNumberFormat="1" applyFont="1" applyFill="1" applyBorder="1" applyAlignment="1">
      <alignment horizontal="right" vertical="center"/>
      <protection/>
    </xf>
    <xf numFmtId="174" fontId="5" fillId="0" borderId="10" xfId="52" applyNumberFormat="1" applyFont="1" applyFill="1" applyBorder="1" applyAlignment="1">
      <alignment horizontal="right" vertical="center"/>
      <protection/>
    </xf>
    <xf numFmtId="174" fontId="1" fillId="0" borderId="10" xfId="0" applyNumberFormat="1" applyFont="1" applyFill="1" applyBorder="1" applyAlignment="1">
      <alignment horizontal="right" vertical="center"/>
    </xf>
    <xf numFmtId="174" fontId="7" fillId="35" borderId="10" xfId="0" applyNumberFormat="1" applyFont="1" applyFill="1" applyBorder="1" applyAlignment="1">
      <alignment horizontal="right"/>
    </xf>
    <xf numFmtId="174" fontId="9" fillId="35" borderId="10" xfId="0" applyNumberFormat="1" applyFont="1" applyFill="1" applyBorder="1" applyAlignment="1">
      <alignment horizontal="right"/>
    </xf>
    <xf numFmtId="174" fontId="37" fillId="0" borderId="0" xfId="0" applyNumberFormat="1" applyFont="1" applyFill="1" applyAlignment="1">
      <alignment horizontal="right"/>
    </xf>
    <xf numFmtId="0" fontId="5" fillId="33" borderId="0" xfId="52" applyFont="1" applyFill="1" applyBorder="1" applyAlignment="1">
      <alignment wrapText="1"/>
      <protection/>
    </xf>
    <xf numFmtId="174" fontId="5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9.140625" defaultRowHeight="15"/>
  <cols>
    <col min="1" max="1" width="3.00390625" style="0" customWidth="1"/>
    <col min="2" max="2" width="3.7109375" style="0" customWidth="1"/>
    <col min="3" max="3" width="32.57421875" style="0" customWidth="1"/>
    <col min="4" max="4" width="37.421875" style="0" customWidth="1"/>
    <col min="5" max="5" width="16.00390625" style="0" customWidth="1"/>
    <col min="6" max="6" width="0.42578125" style="0" customWidth="1"/>
    <col min="7" max="7" width="17.28125" style="54" customWidth="1"/>
  </cols>
  <sheetData>
    <row r="1" ht="18.75">
      <c r="B1" s="1" t="s">
        <v>77</v>
      </c>
    </row>
    <row r="2" ht="18.75">
      <c r="B2" s="1" t="s">
        <v>0</v>
      </c>
    </row>
    <row r="3" spans="2:3" ht="24" customHeight="1">
      <c r="B3" s="1"/>
      <c r="C3" s="29"/>
    </row>
    <row r="4" spans="2:7" s="3" customFormat="1" ht="29.25" customHeight="1">
      <c r="B4" s="2"/>
      <c r="C4" s="2" t="s">
        <v>1</v>
      </c>
      <c r="D4" s="2" t="s">
        <v>2</v>
      </c>
      <c r="E4" s="2" t="s">
        <v>3</v>
      </c>
      <c r="F4" s="2" t="s">
        <v>58</v>
      </c>
      <c r="G4" s="55" t="s">
        <v>4</v>
      </c>
    </row>
    <row r="5" spans="2:7" ht="15">
      <c r="B5" s="4"/>
      <c r="C5" s="5"/>
      <c r="D5" s="6"/>
      <c r="E5" s="6"/>
      <c r="F5" s="6"/>
      <c r="G5" s="56"/>
    </row>
    <row r="6" spans="2:7" ht="15">
      <c r="B6" s="4"/>
      <c r="C6" s="7"/>
      <c r="D6" s="8"/>
      <c r="E6" s="8"/>
      <c r="F6" s="8"/>
      <c r="G6" s="52"/>
    </row>
    <row r="7" spans="2:7" ht="15.75">
      <c r="B7" s="36"/>
      <c r="C7" s="7" t="s">
        <v>5</v>
      </c>
      <c r="D7" s="35" t="s">
        <v>78</v>
      </c>
      <c r="E7" s="37">
        <v>42035</v>
      </c>
      <c r="F7" s="37"/>
      <c r="G7" s="52">
        <v>578237.05</v>
      </c>
    </row>
    <row r="8" spans="2:7" ht="15.75">
      <c r="B8" s="36"/>
      <c r="C8" s="5" t="s">
        <v>5</v>
      </c>
      <c r="D8" s="9" t="s">
        <v>9</v>
      </c>
      <c r="E8" s="37"/>
      <c r="F8" s="37"/>
      <c r="G8" s="53">
        <v>578237.05</v>
      </c>
    </row>
    <row r="9" spans="2:7" ht="15.75">
      <c r="B9" s="36"/>
      <c r="C9" s="7" t="s">
        <v>6</v>
      </c>
      <c r="D9" s="35" t="s">
        <v>7</v>
      </c>
      <c r="E9" s="38">
        <v>42035</v>
      </c>
      <c r="F9" s="38"/>
      <c r="G9" s="56">
        <v>9022.67</v>
      </c>
    </row>
    <row r="10" spans="2:7" ht="15">
      <c r="B10" s="4"/>
      <c r="C10" s="5" t="s">
        <v>6</v>
      </c>
      <c r="D10" s="9" t="s">
        <v>8</v>
      </c>
      <c r="E10" s="10"/>
      <c r="F10" s="10"/>
      <c r="G10" s="58">
        <f>1067.64+318.85</f>
        <v>1386.4900000000002</v>
      </c>
    </row>
    <row r="11" spans="2:7" ht="15">
      <c r="B11" s="4"/>
      <c r="C11" s="5" t="s">
        <v>6</v>
      </c>
      <c r="D11" s="9" t="s">
        <v>9</v>
      </c>
      <c r="E11" s="10"/>
      <c r="F11" s="10"/>
      <c r="G11" s="58">
        <f>2681.02+4955.16</f>
        <v>7636.18</v>
      </c>
    </row>
    <row r="12" spans="2:7" ht="26.25">
      <c r="B12" s="39"/>
      <c r="C12" s="7" t="s">
        <v>10</v>
      </c>
      <c r="D12" s="35" t="s">
        <v>11</v>
      </c>
      <c r="E12" s="38">
        <v>42035</v>
      </c>
      <c r="F12" s="38"/>
      <c r="G12" s="61">
        <v>67015.41</v>
      </c>
    </row>
    <row r="13" spans="2:7" ht="15">
      <c r="B13" s="11"/>
      <c r="C13" s="5" t="s">
        <v>10</v>
      </c>
      <c r="D13" s="9" t="s">
        <v>8</v>
      </c>
      <c r="E13" s="10"/>
      <c r="F13" s="10"/>
      <c r="G13" s="57">
        <f>6212.38+3088.99+1597.44</f>
        <v>10898.81</v>
      </c>
    </row>
    <row r="14" spans="2:7" ht="15">
      <c r="B14" s="11"/>
      <c r="C14" s="5" t="s">
        <v>10</v>
      </c>
      <c r="D14" s="12" t="s">
        <v>12</v>
      </c>
      <c r="E14" s="10"/>
      <c r="F14" s="10"/>
      <c r="G14" s="57">
        <f>5416+880.52+2740.97</f>
        <v>9037.49</v>
      </c>
    </row>
    <row r="15" spans="2:7" ht="15">
      <c r="B15" s="11"/>
      <c r="C15" s="5" t="s">
        <v>10</v>
      </c>
      <c r="D15" s="9" t="s">
        <v>9</v>
      </c>
      <c r="E15" s="10"/>
      <c r="F15" s="10"/>
      <c r="G15" s="57">
        <f>14575.28+6664.91+1555.11+2989.03</f>
        <v>25784.33</v>
      </c>
    </row>
    <row r="16" spans="2:7" ht="15">
      <c r="B16" s="13"/>
      <c r="C16" s="5" t="s">
        <v>10</v>
      </c>
      <c r="D16" s="12" t="s">
        <v>13</v>
      </c>
      <c r="E16" s="10"/>
      <c r="F16" s="10"/>
      <c r="G16" s="58">
        <v>3940.74</v>
      </c>
    </row>
    <row r="17" spans="2:7" ht="15">
      <c r="B17" s="11"/>
      <c r="C17" s="5" t="s">
        <v>10</v>
      </c>
      <c r="D17" s="12" t="s">
        <v>14</v>
      </c>
      <c r="E17" s="10"/>
      <c r="F17" s="10"/>
      <c r="G17" s="57">
        <v>3758.49</v>
      </c>
    </row>
    <row r="18" spans="2:7" ht="15">
      <c r="B18" s="14"/>
      <c r="C18" s="5" t="s">
        <v>10</v>
      </c>
      <c r="D18" s="12" t="s">
        <v>15</v>
      </c>
      <c r="E18" s="10"/>
      <c r="F18" s="10"/>
      <c r="G18" s="58">
        <f>2172.45+3003.78+4209.66</f>
        <v>9385.89</v>
      </c>
    </row>
    <row r="19" spans="2:7" ht="15">
      <c r="B19" s="14"/>
      <c r="C19" s="5" t="s">
        <v>10</v>
      </c>
      <c r="D19" s="12" t="s">
        <v>16</v>
      </c>
      <c r="E19" s="10"/>
      <c r="F19" s="10"/>
      <c r="G19" s="58">
        <v>4209.66</v>
      </c>
    </row>
    <row r="20" spans="2:7" s="26" customFormat="1" ht="26.25">
      <c r="B20" s="40"/>
      <c r="C20" s="7" t="s">
        <v>17</v>
      </c>
      <c r="D20" s="35" t="s">
        <v>18</v>
      </c>
      <c r="E20" s="38">
        <v>42035</v>
      </c>
      <c r="F20" s="38"/>
      <c r="G20" s="56">
        <v>28397.71</v>
      </c>
    </row>
    <row r="21" spans="2:7" ht="15">
      <c r="B21" s="13"/>
      <c r="C21" s="5" t="s">
        <v>17</v>
      </c>
      <c r="D21" s="9" t="s">
        <v>8</v>
      </c>
      <c r="E21" s="10"/>
      <c r="F21" s="10"/>
      <c r="G21" s="58">
        <v>2562.19</v>
      </c>
    </row>
    <row r="22" spans="2:7" ht="15">
      <c r="B22" s="13"/>
      <c r="C22" s="5" t="s">
        <v>17</v>
      </c>
      <c r="D22" s="9" t="s">
        <v>13</v>
      </c>
      <c r="E22" s="10"/>
      <c r="F22" s="10"/>
      <c r="G22" s="58">
        <v>5648.97</v>
      </c>
    </row>
    <row r="23" spans="2:7" ht="15">
      <c r="B23" s="13"/>
      <c r="C23" s="5" t="s">
        <v>17</v>
      </c>
      <c r="D23" s="9" t="s">
        <v>9</v>
      </c>
      <c r="E23" s="10"/>
      <c r="F23" s="10"/>
      <c r="G23" s="58">
        <f>5648.97+3033.97</f>
        <v>8682.94</v>
      </c>
    </row>
    <row r="24" spans="2:7" ht="15">
      <c r="B24" s="13"/>
      <c r="C24" s="5" t="s">
        <v>17</v>
      </c>
      <c r="D24" s="12" t="s">
        <v>12</v>
      </c>
      <c r="E24" s="10"/>
      <c r="F24" s="10"/>
      <c r="G24" s="58">
        <f>9205.53+2298.08</f>
        <v>11503.61</v>
      </c>
    </row>
    <row r="25" spans="2:7" ht="15">
      <c r="B25" s="15"/>
      <c r="C25" s="16"/>
      <c r="D25" s="17" t="s">
        <v>19</v>
      </c>
      <c r="E25" s="17"/>
      <c r="F25" s="17">
        <v>531808.29</v>
      </c>
      <c r="G25" s="68">
        <f>SUM(G7+G12+G20+G9)</f>
        <v>682672.8400000001</v>
      </c>
    </row>
    <row r="26" spans="2:7" s="26" customFormat="1" ht="15.75">
      <c r="B26" s="36"/>
      <c r="C26" s="7" t="s">
        <v>5</v>
      </c>
      <c r="D26" s="35" t="s">
        <v>20</v>
      </c>
      <c r="E26" s="38">
        <v>42063</v>
      </c>
      <c r="F26" s="38"/>
      <c r="G26" s="56">
        <v>401855.71</v>
      </c>
    </row>
    <row r="27" spans="2:7" s="26" customFormat="1" ht="15.75">
      <c r="B27" s="36"/>
      <c r="C27" s="5" t="s">
        <v>5</v>
      </c>
      <c r="D27" s="9" t="s">
        <v>13</v>
      </c>
      <c r="E27" s="38"/>
      <c r="F27" s="38"/>
      <c r="G27" s="63">
        <v>401855.71</v>
      </c>
    </row>
    <row r="28" spans="2:7" s="26" customFormat="1" ht="26.25">
      <c r="B28" s="41"/>
      <c r="C28" s="7" t="s">
        <v>10</v>
      </c>
      <c r="D28" s="35" t="s">
        <v>21</v>
      </c>
      <c r="E28" s="38">
        <v>42063</v>
      </c>
      <c r="F28" s="38"/>
      <c r="G28" s="56">
        <v>79362.03</v>
      </c>
    </row>
    <row r="29" spans="2:7" ht="15">
      <c r="B29" s="14"/>
      <c r="C29" s="5" t="s">
        <v>10</v>
      </c>
      <c r="D29" s="12" t="s">
        <v>14</v>
      </c>
      <c r="E29" s="10"/>
      <c r="F29" s="10"/>
      <c r="G29" s="58">
        <f>2213.3+4502.14</f>
        <v>6715.4400000000005</v>
      </c>
    </row>
    <row r="30" spans="2:7" ht="15">
      <c r="B30" s="14"/>
      <c r="C30" s="5" t="s">
        <v>10</v>
      </c>
      <c r="D30" s="12" t="s">
        <v>12</v>
      </c>
      <c r="E30" s="10"/>
      <c r="F30" s="10"/>
      <c r="G30" s="58">
        <f>2213.3+6177.49</f>
        <v>8390.79</v>
      </c>
    </row>
    <row r="31" spans="2:7" ht="15">
      <c r="B31" s="14"/>
      <c r="C31" s="5" t="s">
        <v>10</v>
      </c>
      <c r="D31" s="12" t="s">
        <v>15</v>
      </c>
      <c r="E31" s="10"/>
      <c r="F31" s="10"/>
      <c r="G31" s="58">
        <f>2686.84+13237.46</f>
        <v>15924.3</v>
      </c>
    </row>
    <row r="32" spans="2:7" ht="15">
      <c r="B32" s="14"/>
      <c r="C32" s="5" t="s">
        <v>10</v>
      </c>
      <c r="D32" s="12" t="s">
        <v>16</v>
      </c>
      <c r="E32" s="10"/>
      <c r="F32" s="10"/>
      <c r="G32" s="58">
        <v>2892.03</v>
      </c>
    </row>
    <row r="33" spans="2:7" ht="15">
      <c r="B33" s="14"/>
      <c r="C33" s="5" t="s">
        <v>10</v>
      </c>
      <c r="D33" s="12" t="s">
        <v>13</v>
      </c>
      <c r="E33" s="10"/>
      <c r="F33" s="10"/>
      <c r="G33" s="58">
        <f>4786.93+6017.04+4689.82+7489.91</f>
        <v>22983.7</v>
      </c>
    </row>
    <row r="34" spans="2:7" ht="15">
      <c r="B34" s="14"/>
      <c r="C34" s="5" t="s">
        <v>10</v>
      </c>
      <c r="D34" s="9" t="s">
        <v>8</v>
      </c>
      <c r="E34" s="9"/>
      <c r="F34" s="9"/>
      <c r="G34" s="58">
        <v>4473.62</v>
      </c>
    </row>
    <row r="35" spans="2:7" ht="15">
      <c r="B35" s="14"/>
      <c r="C35" s="5" t="s">
        <v>10</v>
      </c>
      <c r="D35" s="9" t="s">
        <v>9</v>
      </c>
      <c r="E35" s="9"/>
      <c r="F35" s="9"/>
      <c r="G35" s="58">
        <f>4314.81+4028.76+2413.78+3613.42+3611.38</f>
        <v>17982.15</v>
      </c>
    </row>
    <row r="36" spans="2:7" s="26" customFormat="1" ht="39" customHeight="1">
      <c r="B36" s="41"/>
      <c r="C36" s="7" t="s">
        <v>17</v>
      </c>
      <c r="D36" s="35" t="s">
        <v>24</v>
      </c>
      <c r="E36" s="38">
        <v>42063</v>
      </c>
      <c r="F36" s="38"/>
      <c r="G36" s="56">
        <v>19210.11</v>
      </c>
    </row>
    <row r="37" spans="2:7" ht="15" customHeight="1">
      <c r="B37" s="14"/>
      <c r="C37" s="5" t="s">
        <v>17</v>
      </c>
      <c r="D37" s="9" t="s">
        <v>9</v>
      </c>
      <c r="E37" s="10"/>
      <c r="F37" s="10"/>
      <c r="G37" s="58">
        <f>1509.28</f>
        <v>1509.28</v>
      </c>
    </row>
    <row r="38" spans="2:7" ht="15" customHeight="1">
      <c r="B38" s="14"/>
      <c r="C38" s="5" t="s">
        <v>17</v>
      </c>
      <c r="D38" s="12" t="s">
        <v>13</v>
      </c>
      <c r="E38" s="9"/>
      <c r="F38" s="9"/>
      <c r="G38" s="58">
        <f>12817.69+3018.57</f>
        <v>15836.26</v>
      </c>
    </row>
    <row r="39" spans="2:7" ht="15" customHeight="1">
      <c r="B39" s="14"/>
      <c r="C39" s="5" t="s">
        <v>17</v>
      </c>
      <c r="D39" s="12" t="s">
        <v>16</v>
      </c>
      <c r="E39" s="9"/>
      <c r="F39" s="9"/>
      <c r="G39" s="58">
        <f>1281.78+582.79</f>
        <v>1864.57</v>
      </c>
    </row>
    <row r="40" spans="2:7" ht="15">
      <c r="B40" s="14"/>
      <c r="C40" s="16"/>
      <c r="D40" s="17" t="s">
        <v>25</v>
      </c>
      <c r="E40" s="17"/>
      <c r="F40" s="17">
        <v>537911.33</v>
      </c>
      <c r="G40" s="68">
        <f>G26+G28+G36</f>
        <v>500427.85</v>
      </c>
    </row>
    <row r="41" spans="2:7" s="26" customFormat="1" ht="26.25">
      <c r="B41" s="41"/>
      <c r="C41" s="7" t="s">
        <v>10</v>
      </c>
      <c r="D41" s="35" t="s">
        <v>26</v>
      </c>
      <c r="E41" s="38">
        <v>42094</v>
      </c>
      <c r="F41" s="38"/>
      <c r="G41" s="56">
        <v>65455.19</v>
      </c>
    </row>
    <row r="42" spans="2:7" ht="15">
      <c r="B42" s="14"/>
      <c r="C42" s="5" t="s">
        <v>10</v>
      </c>
      <c r="D42" s="12" t="s">
        <v>13</v>
      </c>
      <c r="E42" s="10"/>
      <c r="F42" s="10"/>
      <c r="G42" s="58">
        <f>4314.6+2477.02</f>
        <v>6791.620000000001</v>
      </c>
    </row>
    <row r="43" spans="2:7" ht="15">
      <c r="B43" s="14"/>
      <c r="C43" s="5" t="s">
        <v>10</v>
      </c>
      <c r="D43" s="12" t="s">
        <v>14</v>
      </c>
      <c r="E43" s="10"/>
      <c r="F43" s="10"/>
      <c r="G43" s="58">
        <f>11091.73</f>
        <v>11091.73</v>
      </c>
    </row>
    <row r="44" spans="2:7" ht="15">
      <c r="B44" s="14"/>
      <c r="C44" s="5" t="s">
        <v>10</v>
      </c>
      <c r="D44" s="12" t="s">
        <v>16</v>
      </c>
      <c r="E44" s="10"/>
      <c r="F44" s="10"/>
      <c r="G44" s="58">
        <f>3861.46</f>
        <v>3861.46</v>
      </c>
    </row>
    <row r="45" spans="2:7" ht="15">
      <c r="B45" s="14"/>
      <c r="C45" s="5" t="s">
        <v>10</v>
      </c>
      <c r="D45" s="9" t="s">
        <v>8</v>
      </c>
      <c r="E45" s="10"/>
      <c r="F45" s="10"/>
      <c r="G45" s="58">
        <f>13004.74+5731.96</f>
        <v>18736.7</v>
      </c>
    </row>
    <row r="46" spans="2:7" ht="15">
      <c r="B46" s="14"/>
      <c r="C46" s="5" t="s">
        <v>10</v>
      </c>
      <c r="D46" s="12" t="s">
        <v>12</v>
      </c>
      <c r="E46" s="10"/>
      <c r="F46" s="10"/>
      <c r="G46" s="58">
        <f>4306.65+13775.12+4019.65</f>
        <v>22101.420000000002</v>
      </c>
    </row>
    <row r="47" spans="2:7" ht="15">
      <c r="B47" s="14"/>
      <c r="C47" s="5" t="s">
        <v>10</v>
      </c>
      <c r="D47" s="9" t="s">
        <v>9</v>
      </c>
      <c r="E47" s="10"/>
      <c r="F47" s="10"/>
      <c r="G47" s="58">
        <f>2338.83+533.43</f>
        <v>2872.2599999999998</v>
      </c>
    </row>
    <row r="48" spans="2:7" s="26" customFormat="1" ht="26.25">
      <c r="B48" s="41"/>
      <c r="C48" s="7" t="s">
        <v>17</v>
      </c>
      <c r="D48" s="35" t="s">
        <v>27</v>
      </c>
      <c r="E48" s="38">
        <v>42094</v>
      </c>
      <c r="F48" s="38"/>
      <c r="G48" s="56">
        <v>27819.44</v>
      </c>
    </row>
    <row r="49" spans="2:7" ht="15">
      <c r="B49" s="14"/>
      <c r="C49" s="5" t="s">
        <v>86</v>
      </c>
      <c r="D49" s="12" t="s">
        <v>13</v>
      </c>
      <c r="E49" s="10"/>
      <c r="F49" s="10"/>
      <c r="G49" s="58">
        <f>8199.7+3417.3+3018.58</f>
        <v>14635.58</v>
      </c>
    </row>
    <row r="50" spans="2:7" ht="15">
      <c r="B50" s="14"/>
      <c r="C50" s="5" t="s">
        <v>86</v>
      </c>
      <c r="D50" s="12" t="s">
        <v>16</v>
      </c>
      <c r="E50" s="10"/>
      <c r="F50" s="10"/>
      <c r="G50" s="58">
        <f>1551.98+1708.64</f>
        <v>3260.62</v>
      </c>
    </row>
    <row r="51" spans="2:7" ht="15">
      <c r="B51" s="14"/>
      <c r="C51" s="5" t="s">
        <v>86</v>
      </c>
      <c r="D51" s="12" t="s">
        <v>12</v>
      </c>
      <c r="E51" s="10"/>
      <c r="F51" s="10"/>
      <c r="G51" s="58">
        <f>1165.59</f>
        <v>1165.59</v>
      </c>
    </row>
    <row r="52" spans="2:7" ht="15">
      <c r="B52" s="14"/>
      <c r="C52" s="5" t="s">
        <v>86</v>
      </c>
      <c r="D52" s="9" t="s">
        <v>32</v>
      </c>
      <c r="E52" s="10"/>
      <c r="F52" s="10"/>
      <c r="G52" s="58">
        <f>682.78+1763.39</f>
        <v>2446.17</v>
      </c>
    </row>
    <row r="53" spans="2:7" ht="15">
      <c r="B53" s="14"/>
      <c r="C53" s="5" t="s">
        <v>86</v>
      </c>
      <c r="D53" s="9" t="s">
        <v>9</v>
      </c>
      <c r="E53" s="10"/>
      <c r="F53" s="10"/>
      <c r="G53" s="58">
        <f>6311.48</f>
        <v>6311.48</v>
      </c>
    </row>
    <row r="54" spans="2:7" s="26" customFormat="1" ht="15.75">
      <c r="B54" s="41"/>
      <c r="C54" s="7" t="s">
        <v>5</v>
      </c>
      <c r="D54" s="35" t="s">
        <v>29</v>
      </c>
      <c r="E54" s="38">
        <v>42094</v>
      </c>
      <c r="F54" s="38"/>
      <c r="G54" s="56">
        <v>403394.62</v>
      </c>
    </row>
    <row r="55" spans="2:7" s="26" customFormat="1" ht="15.75">
      <c r="B55" s="41"/>
      <c r="C55" s="5" t="s">
        <v>5</v>
      </c>
      <c r="D55" s="12" t="s">
        <v>13</v>
      </c>
      <c r="E55" s="38"/>
      <c r="F55" s="38"/>
      <c r="G55" s="63">
        <v>403394.62</v>
      </c>
    </row>
    <row r="56" spans="2:7" s="26" customFormat="1" ht="26.25">
      <c r="B56" s="41"/>
      <c r="C56" s="7" t="s">
        <v>30</v>
      </c>
      <c r="D56" s="35" t="s">
        <v>31</v>
      </c>
      <c r="E56" s="44">
        <v>42094</v>
      </c>
      <c r="F56" s="44"/>
      <c r="G56" s="56">
        <f>59316.11+66794.12</f>
        <v>126110.23</v>
      </c>
    </row>
    <row r="57" spans="2:7" ht="25.5">
      <c r="B57" s="14"/>
      <c r="C57" s="5" t="s">
        <v>30</v>
      </c>
      <c r="D57" s="9" t="s">
        <v>32</v>
      </c>
      <c r="E57" s="8"/>
      <c r="F57" s="8"/>
      <c r="G57" s="58">
        <v>59316.11</v>
      </c>
    </row>
    <row r="58" spans="2:7" ht="25.5">
      <c r="B58" s="14"/>
      <c r="C58" s="5" t="s">
        <v>30</v>
      </c>
      <c r="D58" s="12" t="s">
        <v>16</v>
      </c>
      <c r="E58" s="8"/>
      <c r="F58" s="8"/>
      <c r="G58" s="58">
        <v>66794.12</v>
      </c>
    </row>
    <row r="59" spans="2:7" ht="15">
      <c r="B59" s="14"/>
      <c r="C59" s="16"/>
      <c r="D59" s="17" t="s">
        <v>33</v>
      </c>
      <c r="E59" s="17"/>
      <c r="F59" s="17">
        <v>535737.66</v>
      </c>
      <c r="G59" s="68">
        <f>G41+G48+G54+G56</f>
        <v>622779.48</v>
      </c>
    </row>
    <row r="60" spans="2:7" ht="15">
      <c r="B60" s="14"/>
      <c r="C60" s="16" t="s">
        <v>34</v>
      </c>
      <c r="D60" s="17"/>
      <c r="E60" s="17"/>
      <c r="F60" s="18">
        <f>F25+F40+F59</f>
        <v>1605457.2800000003</v>
      </c>
      <c r="G60" s="68">
        <f>G25+G40+G59</f>
        <v>1805880.17</v>
      </c>
    </row>
    <row r="61" spans="2:7" s="26" customFormat="1" ht="26.25">
      <c r="B61" s="39"/>
      <c r="C61" s="7" t="s">
        <v>10</v>
      </c>
      <c r="D61" s="35" t="s">
        <v>35</v>
      </c>
      <c r="E61" s="38">
        <v>42124</v>
      </c>
      <c r="F61" s="38"/>
      <c r="G61" s="64">
        <v>154825.83</v>
      </c>
    </row>
    <row r="62" spans="2:7" ht="15">
      <c r="B62" s="11"/>
      <c r="C62" s="5" t="s">
        <v>10</v>
      </c>
      <c r="D62" s="9" t="s">
        <v>9</v>
      </c>
      <c r="E62" s="9"/>
      <c r="F62" s="9"/>
      <c r="G62" s="57">
        <f>2438.99+3703.5</f>
        <v>6142.49</v>
      </c>
    </row>
    <row r="63" spans="2:7" ht="15">
      <c r="B63" s="11"/>
      <c r="C63" s="5" t="s">
        <v>10</v>
      </c>
      <c r="D63" s="9" t="s">
        <v>8</v>
      </c>
      <c r="E63" s="9"/>
      <c r="F63" s="9"/>
      <c r="G63" s="57">
        <f>7250.18</f>
        <v>7250.18</v>
      </c>
    </row>
    <row r="64" spans="2:7" ht="15">
      <c r="B64" s="11"/>
      <c r="C64" s="5" t="s">
        <v>10</v>
      </c>
      <c r="D64" s="12" t="s">
        <v>12</v>
      </c>
      <c r="E64" s="9"/>
      <c r="F64" s="9"/>
      <c r="G64" s="57">
        <f>59799.11+8029.84</f>
        <v>67828.95</v>
      </c>
    </row>
    <row r="65" spans="2:7" ht="15">
      <c r="B65" s="11"/>
      <c r="C65" s="5" t="s">
        <v>10</v>
      </c>
      <c r="D65" s="12" t="s">
        <v>13</v>
      </c>
      <c r="E65" s="9"/>
      <c r="F65" s="9"/>
      <c r="G65" s="57">
        <f>8102</f>
        <v>8102</v>
      </c>
    </row>
    <row r="66" spans="2:7" ht="15">
      <c r="B66" s="11"/>
      <c r="C66" s="5" t="s">
        <v>10</v>
      </c>
      <c r="D66" s="12" t="s">
        <v>14</v>
      </c>
      <c r="E66" s="9"/>
      <c r="F66" s="9"/>
      <c r="G66" s="57">
        <f>2085.07+57345.13</f>
        <v>59430.2</v>
      </c>
    </row>
    <row r="67" spans="2:7" ht="15">
      <c r="B67" s="11"/>
      <c r="C67" s="5" t="s">
        <v>10</v>
      </c>
      <c r="D67" s="12" t="s">
        <v>15</v>
      </c>
      <c r="E67" s="9"/>
      <c r="F67" s="9"/>
      <c r="G67" s="57">
        <v>3007.11</v>
      </c>
    </row>
    <row r="68" spans="2:7" ht="15">
      <c r="B68" s="11"/>
      <c r="C68" s="5" t="s">
        <v>10</v>
      </c>
      <c r="D68" s="12" t="s">
        <v>16</v>
      </c>
      <c r="E68" s="9"/>
      <c r="F68" s="9"/>
      <c r="G68" s="57">
        <f>3064.9</f>
        <v>3064.9</v>
      </c>
    </row>
    <row r="69" spans="2:7" s="26" customFormat="1" ht="26.25">
      <c r="B69" s="40"/>
      <c r="C69" s="7" t="s">
        <v>17</v>
      </c>
      <c r="D69" s="35" t="s">
        <v>36</v>
      </c>
      <c r="E69" s="38">
        <v>42124</v>
      </c>
      <c r="F69" s="38"/>
      <c r="G69" s="65">
        <v>39421.36</v>
      </c>
    </row>
    <row r="70" spans="2:7" ht="15">
      <c r="B70" s="14"/>
      <c r="C70" s="5" t="s">
        <v>86</v>
      </c>
      <c r="D70" s="9" t="s">
        <v>9</v>
      </c>
      <c r="E70" s="9"/>
      <c r="F70" s="9"/>
      <c r="G70" s="53">
        <f>2773.73+6288.2</f>
        <v>9061.93</v>
      </c>
    </row>
    <row r="71" spans="2:7" ht="15">
      <c r="B71" s="14"/>
      <c r="C71" s="5" t="s">
        <v>86</v>
      </c>
      <c r="D71" s="9" t="s">
        <v>8</v>
      </c>
      <c r="E71" s="9"/>
      <c r="F71" s="9"/>
      <c r="G71" s="53">
        <f>1234.09+2091.88</f>
        <v>3325.9700000000003</v>
      </c>
    </row>
    <row r="72" spans="2:7" ht="15">
      <c r="B72" s="14"/>
      <c r="C72" s="5" t="s">
        <v>86</v>
      </c>
      <c r="D72" s="12" t="s">
        <v>12</v>
      </c>
      <c r="E72" s="9"/>
      <c r="F72" s="9"/>
      <c r="G72" s="53">
        <f>5570.11+4628.44</f>
        <v>10198.55</v>
      </c>
    </row>
    <row r="73" spans="2:7" ht="15">
      <c r="B73" s="14"/>
      <c r="C73" s="5" t="s">
        <v>86</v>
      </c>
      <c r="D73" s="12" t="s">
        <v>13</v>
      </c>
      <c r="E73" s="9"/>
      <c r="F73" s="9"/>
      <c r="G73" s="53">
        <f>3593.25</f>
        <v>3593.25</v>
      </c>
    </row>
    <row r="74" spans="2:7" ht="15">
      <c r="B74" s="14"/>
      <c r="C74" s="5" t="s">
        <v>86</v>
      </c>
      <c r="D74" s="12" t="s">
        <v>14</v>
      </c>
      <c r="E74" s="9"/>
      <c r="F74" s="9"/>
      <c r="G74" s="53">
        <f>3519.31+5357.51</f>
        <v>8876.82</v>
      </c>
    </row>
    <row r="75" spans="2:7" ht="15">
      <c r="B75" s="14"/>
      <c r="C75" s="5" t="s">
        <v>86</v>
      </c>
      <c r="D75" s="12" t="s">
        <v>16</v>
      </c>
      <c r="E75" s="9"/>
      <c r="F75" s="9"/>
      <c r="G75" s="53">
        <f>2773.73+1591.11</f>
        <v>4364.84</v>
      </c>
    </row>
    <row r="76" spans="2:7" s="26" customFormat="1" ht="26.25">
      <c r="B76" s="45"/>
      <c r="C76" s="7" t="s">
        <v>37</v>
      </c>
      <c r="D76" s="35" t="s">
        <v>38</v>
      </c>
      <c r="E76" s="38">
        <v>42124</v>
      </c>
      <c r="F76" s="38"/>
      <c r="G76" s="65">
        <v>29701.4</v>
      </c>
    </row>
    <row r="77" spans="2:7" ht="15">
      <c r="B77" s="14"/>
      <c r="C77" s="5" t="s">
        <v>37</v>
      </c>
      <c r="D77" s="9" t="s">
        <v>32</v>
      </c>
      <c r="E77" s="8"/>
      <c r="F77" s="8"/>
      <c r="G77" s="58">
        <f>1093.52</f>
        <v>1093.52</v>
      </c>
    </row>
    <row r="78" spans="2:7" ht="15">
      <c r="B78" s="14"/>
      <c r="C78" s="5" t="s">
        <v>37</v>
      </c>
      <c r="D78" s="9" t="s">
        <v>9</v>
      </c>
      <c r="E78" s="10"/>
      <c r="F78" s="10"/>
      <c r="G78" s="58">
        <f>546.74+1095.81+453.2</f>
        <v>2095.75</v>
      </c>
    </row>
    <row r="79" spans="2:7" ht="15">
      <c r="B79" s="14"/>
      <c r="C79" s="5" t="s">
        <v>37</v>
      </c>
      <c r="D79" s="9" t="s">
        <v>8</v>
      </c>
      <c r="E79" s="10"/>
      <c r="F79" s="10"/>
      <c r="G79" s="58">
        <f>370.53+1298.77+12424.18+6132.98</f>
        <v>20226.46</v>
      </c>
    </row>
    <row r="80" spans="2:7" ht="15">
      <c r="B80" s="14"/>
      <c r="C80" s="5" t="s">
        <v>37</v>
      </c>
      <c r="D80" s="12" t="s">
        <v>12</v>
      </c>
      <c r="E80" s="10"/>
      <c r="F80" s="10"/>
      <c r="G80" s="58">
        <f>1205.13+2153.54</f>
        <v>3358.67</v>
      </c>
    </row>
    <row r="81" spans="2:7" ht="15">
      <c r="B81" s="14"/>
      <c r="C81" s="5" t="s">
        <v>37</v>
      </c>
      <c r="D81" s="12" t="s">
        <v>13</v>
      </c>
      <c r="E81" s="10"/>
      <c r="F81" s="10"/>
      <c r="G81" s="58">
        <f>444.66+162.34+68.85</f>
        <v>675.85</v>
      </c>
    </row>
    <row r="82" spans="2:7" ht="15">
      <c r="B82" s="14"/>
      <c r="C82" s="5" t="s">
        <v>37</v>
      </c>
      <c r="D82" s="12" t="s">
        <v>14</v>
      </c>
      <c r="E82" s="10"/>
      <c r="F82" s="10"/>
      <c r="G82" s="58">
        <f>1704.64+182.17</f>
        <v>1886.8100000000002</v>
      </c>
    </row>
    <row r="83" spans="2:7" ht="15">
      <c r="B83" s="14"/>
      <c r="C83" s="5" t="s">
        <v>37</v>
      </c>
      <c r="D83" s="12" t="s">
        <v>15</v>
      </c>
      <c r="E83" s="10"/>
      <c r="F83" s="10"/>
      <c r="G83" s="58">
        <f>182.17</f>
        <v>182.17</v>
      </c>
    </row>
    <row r="84" spans="2:7" ht="15">
      <c r="B84" s="14"/>
      <c r="C84" s="5" t="s">
        <v>37</v>
      </c>
      <c r="D84" s="12" t="s">
        <v>16</v>
      </c>
      <c r="E84" s="10"/>
      <c r="F84" s="10"/>
      <c r="G84" s="58">
        <f>182.17</f>
        <v>182.17</v>
      </c>
    </row>
    <row r="85" spans="2:7" ht="21" customHeight="1">
      <c r="B85" s="11"/>
      <c r="C85" s="19"/>
      <c r="D85" s="17" t="s">
        <v>39</v>
      </c>
      <c r="E85" s="17"/>
      <c r="F85" s="17">
        <v>536505.36</v>
      </c>
      <c r="G85" s="69">
        <f>SUM(G61+G69+G76)</f>
        <v>223948.59</v>
      </c>
    </row>
    <row r="86" spans="2:7" s="26" customFormat="1" ht="26.25">
      <c r="B86" s="39"/>
      <c r="C86" s="7" t="s">
        <v>10</v>
      </c>
      <c r="D86" s="35" t="s">
        <v>40</v>
      </c>
      <c r="E86" s="38">
        <v>42153</v>
      </c>
      <c r="F86" s="38"/>
      <c r="G86" s="64">
        <v>138538.14</v>
      </c>
    </row>
    <row r="87" spans="2:7" ht="15">
      <c r="B87" s="11"/>
      <c r="C87" s="5" t="s">
        <v>10</v>
      </c>
      <c r="D87" s="9" t="s">
        <v>9</v>
      </c>
      <c r="E87" s="9"/>
      <c r="F87" s="9"/>
      <c r="G87" s="57">
        <f>22069.62+15997.02+35703.81</f>
        <v>73770.45</v>
      </c>
    </row>
    <row r="88" spans="2:7" ht="15">
      <c r="B88" s="11"/>
      <c r="C88" s="5" t="s">
        <v>10</v>
      </c>
      <c r="D88" s="9" t="s">
        <v>8</v>
      </c>
      <c r="E88" s="9"/>
      <c r="F88" s="9"/>
      <c r="G88" s="57">
        <v>19014.4</v>
      </c>
    </row>
    <row r="89" spans="2:7" ht="15">
      <c r="B89" s="11"/>
      <c r="C89" s="5" t="s">
        <v>10</v>
      </c>
      <c r="D89" s="12" t="s">
        <v>12</v>
      </c>
      <c r="E89" s="9"/>
      <c r="F89" s="9"/>
      <c r="G89" s="57">
        <v>8636.03</v>
      </c>
    </row>
    <row r="90" spans="2:7" ht="15">
      <c r="B90" s="11"/>
      <c r="C90" s="5" t="s">
        <v>10</v>
      </c>
      <c r="D90" s="12" t="s">
        <v>14</v>
      </c>
      <c r="E90" s="9"/>
      <c r="F90" s="9"/>
      <c r="G90" s="57">
        <v>16106.68</v>
      </c>
    </row>
    <row r="91" spans="2:7" ht="15">
      <c r="B91" s="11"/>
      <c r="C91" s="5" t="s">
        <v>10</v>
      </c>
      <c r="D91" s="12" t="s">
        <v>15</v>
      </c>
      <c r="E91" s="9"/>
      <c r="F91" s="9"/>
      <c r="G91" s="57">
        <v>4227.87</v>
      </c>
    </row>
    <row r="92" spans="2:7" ht="15">
      <c r="B92" s="11"/>
      <c r="C92" s="5" t="s">
        <v>10</v>
      </c>
      <c r="D92" s="12" t="s">
        <v>16</v>
      </c>
      <c r="E92" s="9"/>
      <c r="F92" s="9"/>
      <c r="G92" s="57">
        <f>11097.66+5685.05</f>
        <v>16782.71</v>
      </c>
    </row>
    <row r="93" spans="2:7" s="26" customFormat="1" ht="26.25">
      <c r="B93" s="40"/>
      <c r="C93" s="7" t="s">
        <v>17</v>
      </c>
      <c r="D93" s="35" t="s">
        <v>41</v>
      </c>
      <c r="E93" s="38">
        <v>42153</v>
      </c>
      <c r="F93" s="38"/>
      <c r="G93" s="65">
        <v>53419.13</v>
      </c>
    </row>
    <row r="94" spans="2:7" ht="15">
      <c r="B94" s="14"/>
      <c r="C94" s="5" t="s">
        <v>17</v>
      </c>
      <c r="D94" s="9" t="s">
        <v>9</v>
      </c>
      <c r="E94" s="9"/>
      <c r="F94" s="9"/>
      <c r="G94" s="53">
        <f>726.05</f>
        <v>726.05</v>
      </c>
    </row>
    <row r="95" spans="2:7" ht="15">
      <c r="B95" s="14"/>
      <c r="C95" s="5" t="s">
        <v>17</v>
      </c>
      <c r="D95" s="9" t="s">
        <v>8</v>
      </c>
      <c r="E95" s="9"/>
      <c r="F95" s="9"/>
      <c r="G95" s="53">
        <f>2137.68+4319.3+4460.25+2466.25</f>
        <v>13383.48</v>
      </c>
    </row>
    <row r="96" spans="2:7" ht="15">
      <c r="B96" s="14"/>
      <c r="C96" s="5" t="s">
        <v>17</v>
      </c>
      <c r="D96" s="12" t="s">
        <v>12</v>
      </c>
      <c r="E96" s="9"/>
      <c r="F96" s="9"/>
      <c r="G96" s="53">
        <f>7041.54+6028.5+1551.58+2466.25</f>
        <v>17087.870000000003</v>
      </c>
    </row>
    <row r="97" spans="2:7" ht="15">
      <c r="B97" s="14"/>
      <c r="C97" s="5" t="s">
        <v>17</v>
      </c>
      <c r="D97" s="9" t="s">
        <v>32</v>
      </c>
      <c r="E97" s="9"/>
      <c r="F97" s="9"/>
      <c r="G97" s="53">
        <f>3813.31+2368.38+2466.25</f>
        <v>8647.94</v>
      </c>
    </row>
    <row r="98" spans="2:7" ht="15">
      <c r="B98" s="14"/>
      <c r="C98" s="5" t="s">
        <v>17</v>
      </c>
      <c r="D98" s="12" t="s">
        <v>13</v>
      </c>
      <c r="E98" s="9"/>
      <c r="F98" s="9"/>
      <c r="G98" s="53">
        <f>1416.42+5917.45+2466.25</f>
        <v>9800.119999999999</v>
      </c>
    </row>
    <row r="99" spans="2:7" ht="15">
      <c r="B99" s="14"/>
      <c r="C99" s="5" t="s">
        <v>17</v>
      </c>
      <c r="D99" s="12" t="s">
        <v>16</v>
      </c>
      <c r="E99" s="9"/>
      <c r="F99" s="9"/>
      <c r="G99" s="53">
        <f>690.37+617.05+2466.25</f>
        <v>3773.67</v>
      </c>
    </row>
    <row r="100" spans="2:7" s="26" customFormat="1" ht="15.75">
      <c r="B100" s="45"/>
      <c r="C100" s="7" t="s">
        <v>37</v>
      </c>
      <c r="D100" s="35" t="s">
        <v>42</v>
      </c>
      <c r="E100" s="38">
        <v>42153</v>
      </c>
      <c r="F100" s="38"/>
      <c r="G100" s="65">
        <v>50459.89</v>
      </c>
    </row>
    <row r="101" spans="2:7" ht="15">
      <c r="B101" s="14"/>
      <c r="C101" s="5" t="s">
        <v>37</v>
      </c>
      <c r="D101" s="9" t="s">
        <v>32</v>
      </c>
      <c r="E101" s="8"/>
      <c r="F101" s="8"/>
      <c r="G101" s="58">
        <f>29175.06+463.29</f>
        <v>29638.350000000002</v>
      </c>
    </row>
    <row r="102" spans="2:7" ht="15">
      <c r="B102" s="14"/>
      <c r="C102" s="5" t="s">
        <v>37</v>
      </c>
      <c r="D102" s="9" t="s">
        <v>8</v>
      </c>
      <c r="E102" s="10"/>
      <c r="F102" s="10"/>
      <c r="G102" s="58">
        <f>1092.76+1241.95</f>
        <v>2334.71</v>
      </c>
    </row>
    <row r="103" spans="2:7" ht="15">
      <c r="B103" s="14"/>
      <c r="C103" s="5"/>
      <c r="D103" s="12" t="s">
        <v>12</v>
      </c>
      <c r="E103" s="10"/>
      <c r="F103" s="10"/>
      <c r="G103" s="58">
        <f>2289.11+16197.72</f>
        <v>18486.829999999998</v>
      </c>
    </row>
    <row r="104" spans="2:7" s="26" customFormat="1" ht="26.25">
      <c r="B104" s="41"/>
      <c r="C104" s="7" t="s">
        <v>43</v>
      </c>
      <c r="D104" s="35" t="s">
        <v>81</v>
      </c>
      <c r="E104" s="38">
        <v>42153</v>
      </c>
      <c r="F104" s="38"/>
      <c r="G104" s="60">
        <v>85246.7</v>
      </c>
    </row>
    <row r="105" spans="2:7" s="26" customFormat="1" ht="15.75">
      <c r="B105" s="41"/>
      <c r="C105" s="5" t="s">
        <v>43</v>
      </c>
      <c r="D105" s="9" t="s">
        <v>8</v>
      </c>
      <c r="E105" s="38"/>
      <c r="F105" s="38"/>
      <c r="G105" s="59">
        <v>85246.7</v>
      </c>
    </row>
    <row r="106" spans="2:7" ht="15">
      <c r="B106" s="11"/>
      <c r="C106" s="19"/>
      <c r="D106" s="17" t="s">
        <v>44</v>
      </c>
      <c r="E106" s="17"/>
      <c r="F106" s="17">
        <v>536602.74</v>
      </c>
      <c r="G106" s="69">
        <f>SUM(G86+G93+G100+G104)</f>
        <v>327663.86000000004</v>
      </c>
    </row>
    <row r="107" spans="2:7" s="26" customFormat="1" ht="39">
      <c r="B107" s="39"/>
      <c r="C107" s="7" t="s">
        <v>10</v>
      </c>
      <c r="D107" s="35" t="s">
        <v>45</v>
      </c>
      <c r="E107" s="38">
        <v>42185</v>
      </c>
      <c r="F107" s="38"/>
      <c r="G107" s="61">
        <v>340861.99</v>
      </c>
    </row>
    <row r="108" spans="2:7" ht="15">
      <c r="B108" s="11"/>
      <c r="C108" s="5" t="s">
        <v>10</v>
      </c>
      <c r="D108" s="9" t="s">
        <v>9</v>
      </c>
      <c r="E108" s="9"/>
      <c r="F108" s="9"/>
      <c r="G108" s="57">
        <f>105703.74+11142.99</f>
        <v>116846.73000000001</v>
      </c>
    </row>
    <row r="109" spans="2:7" ht="15">
      <c r="B109" s="11"/>
      <c r="C109" s="5" t="s">
        <v>10</v>
      </c>
      <c r="D109" s="9" t="s">
        <v>8</v>
      </c>
      <c r="E109" s="9"/>
      <c r="F109" s="9"/>
      <c r="G109" s="57">
        <f>16749.78+1657.23</f>
        <v>18407.01</v>
      </c>
    </row>
    <row r="110" spans="2:7" ht="15">
      <c r="B110" s="11"/>
      <c r="C110" s="5" t="s">
        <v>10</v>
      </c>
      <c r="D110" s="12" t="s">
        <v>12</v>
      </c>
      <c r="E110" s="9"/>
      <c r="F110" s="9"/>
      <c r="G110" s="57">
        <f>32685.15+3314.44</f>
        <v>35999.590000000004</v>
      </c>
    </row>
    <row r="111" spans="2:7" ht="15">
      <c r="B111" s="11"/>
      <c r="C111" s="5" t="s">
        <v>10</v>
      </c>
      <c r="D111" s="9" t="s">
        <v>32</v>
      </c>
      <c r="E111" s="9"/>
      <c r="F111" s="9"/>
      <c r="G111" s="57">
        <f>41203.59+1657.23</f>
        <v>42860.82</v>
      </c>
    </row>
    <row r="112" spans="2:7" ht="15">
      <c r="B112" s="11"/>
      <c r="C112" s="5" t="s">
        <v>10</v>
      </c>
      <c r="D112" s="12" t="s">
        <v>13</v>
      </c>
      <c r="E112" s="9"/>
      <c r="F112" s="9"/>
      <c r="G112" s="57">
        <f>33245.42+9485.78</f>
        <v>42731.2</v>
      </c>
    </row>
    <row r="113" spans="2:7" ht="15">
      <c r="B113" s="11"/>
      <c r="C113" s="5" t="s">
        <v>10</v>
      </c>
      <c r="D113" s="12" t="s">
        <v>14</v>
      </c>
      <c r="E113" s="9"/>
      <c r="F113" s="9"/>
      <c r="G113" s="57">
        <f>26140.76+6323.86</f>
        <v>32464.62</v>
      </c>
    </row>
    <row r="114" spans="2:7" ht="15">
      <c r="B114" s="11"/>
      <c r="C114" s="5" t="s">
        <v>10</v>
      </c>
      <c r="D114" s="12" t="s">
        <v>15</v>
      </c>
      <c r="E114" s="9"/>
      <c r="F114" s="9"/>
      <c r="G114" s="57">
        <f>19232.75+6323.86</f>
        <v>25556.61</v>
      </c>
    </row>
    <row r="115" spans="2:7" ht="15">
      <c r="B115" s="11"/>
      <c r="C115" s="5" t="s">
        <v>10</v>
      </c>
      <c r="D115" s="12" t="s">
        <v>16</v>
      </c>
      <c r="E115" s="9"/>
      <c r="F115" s="9"/>
      <c r="G115" s="57">
        <f>18014.34+7981.07</f>
        <v>25995.41</v>
      </c>
    </row>
    <row r="116" spans="2:7" s="26" customFormat="1" ht="26.25">
      <c r="B116" s="39"/>
      <c r="C116" s="7" t="s">
        <v>17</v>
      </c>
      <c r="D116" s="35" t="s">
        <v>46</v>
      </c>
      <c r="E116" s="38">
        <v>42185</v>
      </c>
      <c r="F116" s="38"/>
      <c r="G116" s="65">
        <v>58335.65</v>
      </c>
    </row>
    <row r="117" spans="2:7" ht="15">
      <c r="B117" s="11"/>
      <c r="C117" s="5" t="s">
        <v>17</v>
      </c>
      <c r="D117" s="9" t="s">
        <v>9</v>
      </c>
      <c r="E117" s="9"/>
      <c r="F117" s="9"/>
      <c r="G117" s="53">
        <f>17117.08+2042.13</f>
        <v>19159.210000000003</v>
      </c>
    </row>
    <row r="118" spans="2:7" ht="15">
      <c r="B118" s="11"/>
      <c r="C118" s="5" t="s">
        <v>17</v>
      </c>
      <c r="D118" s="9" t="s">
        <v>8</v>
      </c>
      <c r="E118" s="9"/>
      <c r="F118" s="9"/>
      <c r="G118" s="53">
        <f>4974.54+2722.83</f>
        <v>7697.37</v>
      </c>
    </row>
    <row r="119" spans="2:7" ht="15">
      <c r="B119" s="11"/>
      <c r="C119" s="5" t="s">
        <v>17</v>
      </c>
      <c r="D119" s="12" t="s">
        <v>12</v>
      </c>
      <c r="E119" s="9"/>
      <c r="F119" s="9"/>
      <c r="G119" s="53">
        <f>3214.5</f>
        <v>3214.5</v>
      </c>
    </row>
    <row r="120" spans="2:7" ht="15">
      <c r="B120" s="11"/>
      <c r="C120" s="5" t="s">
        <v>17</v>
      </c>
      <c r="D120" s="9" t="s">
        <v>32</v>
      </c>
      <c r="E120" s="9"/>
      <c r="F120" s="9"/>
      <c r="G120" s="53">
        <f>6455.71+8036.25</f>
        <v>14491.96</v>
      </c>
    </row>
    <row r="121" spans="2:7" ht="15">
      <c r="B121" s="11"/>
      <c r="C121" s="5" t="s">
        <v>17</v>
      </c>
      <c r="D121" s="12" t="s">
        <v>13</v>
      </c>
      <c r="E121" s="9"/>
      <c r="F121" s="9"/>
      <c r="G121" s="53">
        <f>444.5</f>
        <v>444.5</v>
      </c>
    </row>
    <row r="122" spans="2:7" ht="15">
      <c r="B122" s="11"/>
      <c r="C122" s="5" t="s">
        <v>17</v>
      </c>
      <c r="D122" s="12" t="s">
        <v>14</v>
      </c>
      <c r="E122" s="9"/>
      <c r="F122" s="9"/>
      <c r="G122" s="53">
        <f>2908.05</f>
        <v>2908.05</v>
      </c>
    </row>
    <row r="123" spans="2:7" ht="15">
      <c r="B123" s="11"/>
      <c r="C123" s="5" t="s">
        <v>17</v>
      </c>
      <c r="D123" s="12" t="s">
        <v>16</v>
      </c>
      <c r="E123" s="9"/>
      <c r="F123" s="9"/>
      <c r="G123" s="53">
        <f>9058.65+1361.41</f>
        <v>10420.06</v>
      </c>
    </row>
    <row r="124" spans="2:7" s="26" customFormat="1" ht="25.5">
      <c r="B124" s="39"/>
      <c r="C124" s="7" t="s">
        <v>47</v>
      </c>
      <c r="D124" s="35" t="s">
        <v>48</v>
      </c>
      <c r="E124" s="38">
        <v>42185</v>
      </c>
      <c r="F124" s="38"/>
      <c r="G124" s="65">
        <v>34579.02</v>
      </c>
    </row>
    <row r="125" spans="2:7" ht="25.5">
      <c r="B125" s="11"/>
      <c r="C125" s="5" t="s">
        <v>47</v>
      </c>
      <c r="D125" s="12" t="s">
        <v>14</v>
      </c>
      <c r="E125" s="9"/>
      <c r="F125" s="9"/>
      <c r="G125" s="66">
        <v>17118.63</v>
      </c>
    </row>
    <row r="126" spans="2:7" ht="25.5">
      <c r="B126" s="11"/>
      <c r="C126" s="5" t="s">
        <v>47</v>
      </c>
      <c r="D126" s="12" t="s">
        <v>15</v>
      </c>
      <c r="E126" s="9"/>
      <c r="F126" s="9"/>
      <c r="G126" s="66">
        <v>17460.39</v>
      </c>
    </row>
    <row r="127" spans="2:7" s="26" customFormat="1" ht="25.5">
      <c r="B127" s="39"/>
      <c r="C127" s="7" t="s">
        <v>49</v>
      </c>
      <c r="D127" s="35" t="s">
        <v>48</v>
      </c>
      <c r="E127" s="38">
        <v>42185</v>
      </c>
      <c r="F127" s="38"/>
      <c r="G127" s="65">
        <v>373918.72</v>
      </c>
    </row>
    <row r="128" spans="2:7" ht="25.5">
      <c r="B128" s="11"/>
      <c r="C128" s="5" t="s">
        <v>49</v>
      </c>
      <c r="D128" s="12" t="s">
        <v>14</v>
      </c>
      <c r="E128" s="9"/>
      <c r="F128" s="9"/>
      <c r="G128" s="66">
        <v>166413.67</v>
      </c>
    </row>
    <row r="129" spans="2:7" ht="25.5">
      <c r="B129" s="11"/>
      <c r="C129" s="5" t="s">
        <v>49</v>
      </c>
      <c r="D129" s="12" t="s">
        <v>15</v>
      </c>
      <c r="E129" s="9"/>
      <c r="F129" s="9"/>
      <c r="G129" s="66">
        <v>207505.05</v>
      </c>
    </row>
    <row r="130" spans="2:7" s="26" customFormat="1" ht="25.5">
      <c r="B130" s="39"/>
      <c r="C130" s="7" t="s">
        <v>50</v>
      </c>
      <c r="D130" s="35" t="s">
        <v>51</v>
      </c>
      <c r="E130" s="38">
        <v>42185</v>
      </c>
      <c r="F130" s="38"/>
      <c r="G130" s="65">
        <v>221029.78</v>
      </c>
    </row>
    <row r="131" spans="2:7" ht="25.5">
      <c r="B131" s="11"/>
      <c r="C131" s="5" t="s">
        <v>50</v>
      </c>
      <c r="D131" s="12" t="s">
        <v>13</v>
      </c>
      <c r="E131" s="8"/>
      <c r="F131" s="8"/>
      <c r="G131" s="67">
        <v>68814.06</v>
      </c>
    </row>
    <row r="132" spans="2:7" ht="25.5">
      <c r="B132" s="11"/>
      <c r="C132" s="5" t="s">
        <v>50</v>
      </c>
      <c r="D132" s="12" t="s">
        <v>14</v>
      </c>
      <c r="E132" s="10"/>
      <c r="F132" s="10"/>
      <c r="G132" s="67">
        <v>51745.62</v>
      </c>
    </row>
    <row r="133" spans="2:7" ht="25.5">
      <c r="B133" s="11"/>
      <c r="C133" s="5" t="s">
        <v>50</v>
      </c>
      <c r="D133" s="12" t="s">
        <v>15</v>
      </c>
      <c r="E133" s="10"/>
      <c r="F133" s="10"/>
      <c r="G133" s="67">
        <v>52259.93</v>
      </c>
    </row>
    <row r="134" spans="2:7" ht="25.5">
      <c r="B134" s="11"/>
      <c r="C134" s="5" t="s">
        <v>50</v>
      </c>
      <c r="D134" s="12" t="s">
        <v>16</v>
      </c>
      <c r="E134" s="10"/>
      <c r="F134" s="10"/>
      <c r="G134" s="67">
        <v>48210.17</v>
      </c>
    </row>
    <row r="135" spans="2:7" s="26" customFormat="1" ht="26.25">
      <c r="B135" s="39"/>
      <c r="C135" s="7" t="s">
        <v>43</v>
      </c>
      <c r="D135" s="35" t="s">
        <v>83</v>
      </c>
      <c r="E135" s="38">
        <v>42185</v>
      </c>
      <c r="F135" s="38"/>
      <c r="G135" s="60">
        <v>592649.55</v>
      </c>
    </row>
    <row r="136" spans="2:7" s="26" customFormat="1" ht="15">
      <c r="B136" s="39"/>
      <c r="C136" s="5" t="s">
        <v>43</v>
      </c>
      <c r="D136" s="12" t="s">
        <v>12</v>
      </c>
      <c r="E136" s="38"/>
      <c r="F136" s="38"/>
      <c r="G136" s="59">
        <v>592649.55</v>
      </c>
    </row>
    <row r="137" spans="2:7" ht="15">
      <c r="B137" s="11"/>
      <c r="C137" s="19"/>
      <c r="D137" s="17" t="s">
        <v>53</v>
      </c>
      <c r="E137" s="17"/>
      <c r="F137" s="17">
        <v>535997.21</v>
      </c>
      <c r="G137" s="69">
        <f>G107+G116+G124+G127+G130+G135</f>
        <v>1621374.71</v>
      </c>
    </row>
    <row r="138" spans="2:7" ht="15">
      <c r="B138" s="11"/>
      <c r="C138" s="17" t="s">
        <v>54</v>
      </c>
      <c r="D138" s="17"/>
      <c r="E138" s="17"/>
      <c r="F138" s="21">
        <f>F137+F106+F85</f>
        <v>1609105.31</v>
      </c>
      <c r="G138" s="69">
        <f>G137+G106+G85</f>
        <v>2172987.16</v>
      </c>
    </row>
    <row r="139" spans="2:7" ht="15">
      <c r="B139" s="11"/>
      <c r="C139" s="17" t="s">
        <v>55</v>
      </c>
      <c r="D139" s="17"/>
      <c r="E139" s="17"/>
      <c r="F139" s="21">
        <f>F60+F138</f>
        <v>3214562.5900000003</v>
      </c>
      <c r="G139" s="69">
        <f>G60+G138</f>
        <v>3978867.33</v>
      </c>
    </row>
    <row r="140" spans="2:7" s="26" customFormat="1" ht="15">
      <c r="B140" s="39"/>
      <c r="C140" s="7" t="s">
        <v>52</v>
      </c>
      <c r="D140" s="35" t="s">
        <v>82</v>
      </c>
      <c r="E140" s="46">
        <v>42216</v>
      </c>
      <c r="F140" s="46"/>
      <c r="G140" s="61">
        <v>898385.93</v>
      </c>
    </row>
    <row r="141" spans="2:7" s="26" customFormat="1" ht="15">
      <c r="B141" s="39"/>
      <c r="C141" s="5" t="s">
        <v>52</v>
      </c>
      <c r="D141" s="12" t="s">
        <v>12</v>
      </c>
      <c r="E141" s="46"/>
      <c r="F141" s="46"/>
      <c r="G141" s="57">
        <v>898385.93</v>
      </c>
    </row>
    <row r="142" spans="2:7" s="48" customFormat="1" ht="26.25">
      <c r="B142" s="47"/>
      <c r="C142" s="7" t="s">
        <v>10</v>
      </c>
      <c r="D142" s="35" t="s">
        <v>59</v>
      </c>
      <c r="E142" s="46">
        <v>42216</v>
      </c>
      <c r="F142" s="46"/>
      <c r="G142" s="61">
        <v>59209.4</v>
      </c>
    </row>
    <row r="143" spans="2:7" s="33" customFormat="1" ht="15">
      <c r="B143" s="31"/>
      <c r="C143" s="5" t="s">
        <v>10</v>
      </c>
      <c r="D143" s="9" t="s">
        <v>8</v>
      </c>
      <c r="E143" s="22"/>
      <c r="F143" s="22"/>
      <c r="G143" s="57">
        <f>8800.9</f>
        <v>8800.9</v>
      </c>
    </row>
    <row r="144" spans="2:7" s="33" customFormat="1" ht="15">
      <c r="B144" s="31"/>
      <c r="C144" s="5" t="s">
        <v>10</v>
      </c>
      <c r="D144" s="12" t="s">
        <v>12</v>
      </c>
      <c r="E144" s="22"/>
      <c r="F144" s="22"/>
      <c r="G144" s="57">
        <f>17601.81</f>
        <v>17601.81</v>
      </c>
    </row>
    <row r="145" spans="2:7" s="33" customFormat="1" ht="15">
      <c r="B145" s="31"/>
      <c r="C145" s="5" t="s">
        <v>10</v>
      </c>
      <c r="D145" s="9" t="s">
        <v>9</v>
      </c>
      <c r="E145" s="22"/>
      <c r="F145" s="22"/>
      <c r="G145" s="57">
        <f>5763.2</f>
        <v>5763.2</v>
      </c>
    </row>
    <row r="146" spans="2:7" s="33" customFormat="1" ht="15">
      <c r="B146" s="31"/>
      <c r="C146" s="5" t="s">
        <v>10</v>
      </c>
      <c r="D146" s="12" t="s">
        <v>13</v>
      </c>
      <c r="E146" s="22"/>
      <c r="F146" s="22"/>
      <c r="G146" s="57">
        <f>2804.03+10831.54</f>
        <v>13635.570000000002</v>
      </c>
    </row>
    <row r="147" spans="2:7" s="33" customFormat="1" ht="15">
      <c r="B147" s="31"/>
      <c r="C147" s="5" t="s">
        <v>10</v>
      </c>
      <c r="D147" s="12" t="s">
        <v>14</v>
      </c>
      <c r="E147" s="22"/>
      <c r="F147" s="22"/>
      <c r="G147" s="57">
        <f>3427.12</f>
        <v>3427.12</v>
      </c>
    </row>
    <row r="148" spans="2:7" s="33" customFormat="1" ht="15">
      <c r="B148" s="31"/>
      <c r="C148" s="5" t="s">
        <v>10</v>
      </c>
      <c r="D148" s="12" t="s">
        <v>16</v>
      </c>
      <c r="E148" s="22"/>
      <c r="F148" s="22"/>
      <c r="G148" s="57">
        <f>3775.95+6204.85</f>
        <v>9980.8</v>
      </c>
    </row>
    <row r="149" spans="2:7" s="48" customFormat="1" ht="26.25">
      <c r="B149" s="47"/>
      <c r="C149" s="7" t="s">
        <v>5</v>
      </c>
      <c r="D149" s="35" t="s">
        <v>84</v>
      </c>
      <c r="E149" s="46">
        <v>42216</v>
      </c>
      <c r="F149" s="46"/>
      <c r="G149" s="61">
        <v>662629.67</v>
      </c>
    </row>
    <row r="150" spans="2:7" s="48" customFormat="1" ht="15">
      <c r="B150" s="47"/>
      <c r="C150" s="5" t="s">
        <v>5</v>
      </c>
      <c r="D150" s="9" t="s">
        <v>32</v>
      </c>
      <c r="E150" s="46"/>
      <c r="F150" s="46"/>
      <c r="G150" s="57">
        <v>662629.67</v>
      </c>
    </row>
    <row r="151" spans="2:7" s="48" customFormat="1" ht="26.25">
      <c r="B151" s="47"/>
      <c r="C151" s="7" t="s">
        <v>37</v>
      </c>
      <c r="D151" s="35" t="s">
        <v>60</v>
      </c>
      <c r="E151" s="46">
        <v>42216</v>
      </c>
      <c r="F151" s="46"/>
      <c r="G151" s="61">
        <v>125109.87</v>
      </c>
    </row>
    <row r="152" spans="2:7" s="33" customFormat="1" ht="15">
      <c r="B152" s="31"/>
      <c r="C152" s="5" t="s">
        <v>37</v>
      </c>
      <c r="D152" s="12" t="s">
        <v>16</v>
      </c>
      <c r="E152" s="22"/>
      <c r="F152" s="22"/>
      <c r="G152" s="57">
        <f>5679.07</f>
        <v>5679.07</v>
      </c>
    </row>
    <row r="153" spans="2:7" s="33" customFormat="1" ht="15">
      <c r="B153" s="31"/>
      <c r="C153" s="5" t="s">
        <v>37</v>
      </c>
      <c r="D153" s="12" t="s">
        <v>13</v>
      </c>
      <c r="E153" s="22"/>
      <c r="F153" s="22"/>
      <c r="G153" s="57">
        <f>3996.83</f>
        <v>3996.83</v>
      </c>
    </row>
    <row r="154" spans="2:7" s="33" customFormat="1" ht="15">
      <c r="B154" s="31"/>
      <c r="C154" s="5" t="s">
        <v>37</v>
      </c>
      <c r="D154" s="9" t="s">
        <v>8</v>
      </c>
      <c r="E154" s="22"/>
      <c r="F154" s="22"/>
      <c r="G154" s="57">
        <f>2912.46+2078.37</f>
        <v>4990.83</v>
      </c>
    </row>
    <row r="155" spans="2:7" s="33" customFormat="1" ht="15">
      <c r="B155" s="31"/>
      <c r="C155" s="5" t="s">
        <v>37</v>
      </c>
      <c r="D155" s="12" t="s">
        <v>12</v>
      </c>
      <c r="E155" s="22"/>
      <c r="F155" s="22"/>
      <c r="G155" s="57">
        <f>66444.09+22106.26+5015.57</f>
        <v>93565.91999999998</v>
      </c>
    </row>
    <row r="156" spans="2:7" s="33" customFormat="1" ht="15">
      <c r="B156" s="31"/>
      <c r="C156" s="5" t="s">
        <v>37</v>
      </c>
      <c r="D156" s="9" t="s">
        <v>9</v>
      </c>
      <c r="E156" s="22"/>
      <c r="F156" s="22"/>
      <c r="G156" s="57">
        <f>16877.22</f>
        <v>16877.22</v>
      </c>
    </row>
    <row r="157" spans="2:7" ht="15">
      <c r="B157" s="11"/>
      <c r="C157" s="19"/>
      <c r="D157" s="17" t="s">
        <v>56</v>
      </c>
      <c r="E157" s="17"/>
      <c r="F157" s="21">
        <v>536325.48</v>
      </c>
      <c r="G157" s="69">
        <f>G140+G142+G149+G151</f>
        <v>1745334.87</v>
      </c>
    </row>
    <row r="158" spans="2:7" s="48" customFormat="1" ht="26.25">
      <c r="B158" s="47"/>
      <c r="C158" s="7" t="s">
        <v>10</v>
      </c>
      <c r="D158" s="35" t="s">
        <v>61</v>
      </c>
      <c r="E158" s="46">
        <v>42247</v>
      </c>
      <c r="G158" s="61">
        <v>50235.41</v>
      </c>
    </row>
    <row r="159" spans="2:7" s="33" customFormat="1" ht="15">
      <c r="B159" s="31"/>
      <c r="C159" s="5" t="s">
        <v>10</v>
      </c>
      <c r="D159" s="9" t="s">
        <v>8</v>
      </c>
      <c r="E159" s="34"/>
      <c r="G159" s="57">
        <f>5309.9</f>
        <v>5309.9</v>
      </c>
    </row>
    <row r="160" spans="2:7" s="33" customFormat="1" ht="15">
      <c r="B160" s="31"/>
      <c r="C160" s="5" t="s">
        <v>10</v>
      </c>
      <c r="D160" s="12" t="s">
        <v>12</v>
      </c>
      <c r="E160" s="34"/>
      <c r="G160" s="57">
        <f>4536.3+5650.89</f>
        <v>10187.19</v>
      </c>
    </row>
    <row r="161" spans="2:7" s="33" customFormat="1" ht="15">
      <c r="B161" s="31"/>
      <c r="C161" s="5" t="s">
        <v>10</v>
      </c>
      <c r="D161" s="9" t="s">
        <v>9</v>
      </c>
      <c r="E161" s="34"/>
      <c r="G161" s="57">
        <f>5309.89+11387.6</f>
        <v>16697.49</v>
      </c>
    </row>
    <row r="162" spans="2:7" s="33" customFormat="1" ht="15">
      <c r="B162" s="31"/>
      <c r="C162" s="5" t="s">
        <v>10</v>
      </c>
      <c r="D162" s="12" t="s">
        <v>13</v>
      </c>
      <c r="E162" s="34"/>
      <c r="G162" s="57">
        <f>2390.83</f>
        <v>2390.83</v>
      </c>
    </row>
    <row r="163" spans="2:7" s="33" customFormat="1" ht="15">
      <c r="B163" s="31"/>
      <c r="C163" s="5" t="s">
        <v>10</v>
      </c>
      <c r="D163" s="12" t="s">
        <v>16</v>
      </c>
      <c r="E163" s="34"/>
      <c r="G163" s="57">
        <f>15650</f>
        <v>15650</v>
      </c>
    </row>
    <row r="164" spans="2:7" s="48" customFormat="1" ht="26.25">
      <c r="B164" s="47"/>
      <c r="C164" s="7" t="s">
        <v>17</v>
      </c>
      <c r="D164" s="35" t="s">
        <v>62</v>
      </c>
      <c r="E164" s="49">
        <v>42247</v>
      </c>
      <c r="G164" s="61">
        <v>84983.39</v>
      </c>
    </row>
    <row r="165" spans="2:7" s="33" customFormat="1" ht="15">
      <c r="B165" s="31"/>
      <c r="C165" s="32" t="s">
        <v>17</v>
      </c>
      <c r="D165" s="9" t="s">
        <v>8</v>
      </c>
      <c r="E165" s="35"/>
      <c r="G165" s="57">
        <f>1584.22</f>
        <v>1584.22</v>
      </c>
    </row>
    <row r="166" spans="2:7" s="33" customFormat="1" ht="15">
      <c r="B166" s="31"/>
      <c r="C166" s="32" t="s">
        <v>17</v>
      </c>
      <c r="D166" s="12" t="s">
        <v>12</v>
      </c>
      <c r="E166" s="35"/>
      <c r="G166" s="57">
        <f>3277+12463.57</f>
        <v>15740.57</v>
      </c>
    </row>
    <row r="167" spans="2:7" s="33" customFormat="1" ht="15">
      <c r="B167" s="31"/>
      <c r="C167" s="32" t="s">
        <v>17</v>
      </c>
      <c r="D167" s="9" t="s">
        <v>32</v>
      </c>
      <c r="E167" s="35"/>
      <c r="G167" s="57">
        <f>15841.56+49141.49</f>
        <v>64983.049999999996</v>
      </c>
    </row>
    <row r="168" spans="2:7" s="33" customFormat="1" ht="15">
      <c r="B168" s="31"/>
      <c r="C168" s="32" t="s">
        <v>17</v>
      </c>
      <c r="D168" s="12" t="s">
        <v>14</v>
      </c>
      <c r="E168" s="35"/>
      <c r="G168" s="57">
        <f>1574.27</f>
        <v>1574.27</v>
      </c>
    </row>
    <row r="169" spans="2:7" s="33" customFormat="1" ht="15">
      <c r="B169" s="31"/>
      <c r="C169" s="32" t="s">
        <v>17</v>
      </c>
      <c r="D169" s="12" t="s">
        <v>16</v>
      </c>
      <c r="E169" s="35"/>
      <c r="G169" s="57">
        <f>1101.28</f>
        <v>1101.28</v>
      </c>
    </row>
    <row r="170" spans="2:7" s="48" customFormat="1" ht="26.25">
      <c r="B170" s="47"/>
      <c r="C170" s="7" t="s">
        <v>37</v>
      </c>
      <c r="D170" s="35" t="s">
        <v>63</v>
      </c>
      <c r="E170" s="49">
        <v>42247</v>
      </c>
      <c r="G170" s="61">
        <v>256537.83</v>
      </c>
    </row>
    <row r="171" spans="2:7" s="33" customFormat="1" ht="15">
      <c r="B171" s="31"/>
      <c r="C171" s="5" t="s">
        <v>37</v>
      </c>
      <c r="D171" s="12" t="s">
        <v>16</v>
      </c>
      <c r="E171" s="35"/>
      <c r="G171" s="57">
        <f>117382.53+494.03+28279.72</f>
        <v>146156.28</v>
      </c>
    </row>
    <row r="172" spans="2:7" s="33" customFormat="1" ht="15">
      <c r="B172" s="31"/>
      <c r="C172" s="5" t="s">
        <v>37</v>
      </c>
      <c r="D172" s="12" t="s">
        <v>14</v>
      </c>
      <c r="E172" s="35"/>
      <c r="G172" s="57">
        <f>17593.53+565.66</f>
        <v>18159.19</v>
      </c>
    </row>
    <row r="173" spans="2:7" s="33" customFormat="1" ht="15">
      <c r="B173" s="31"/>
      <c r="C173" s="5" t="s">
        <v>37</v>
      </c>
      <c r="D173" s="12" t="s">
        <v>15</v>
      </c>
      <c r="E173" s="35"/>
      <c r="G173" s="57">
        <f>41073.85+728.13</f>
        <v>41801.979999999996</v>
      </c>
    </row>
    <row r="174" spans="2:7" s="33" customFormat="1" ht="15">
      <c r="B174" s="31"/>
      <c r="C174" s="5" t="s">
        <v>37</v>
      </c>
      <c r="D174" s="9" t="s">
        <v>8</v>
      </c>
      <c r="E174" s="35"/>
      <c r="G174" s="57">
        <f>8853.75</f>
        <v>8853.75</v>
      </c>
    </row>
    <row r="175" spans="2:7" s="33" customFormat="1" ht="15">
      <c r="B175" s="31"/>
      <c r="C175" s="5" t="s">
        <v>37</v>
      </c>
      <c r="D175" s="9" t="s">
        <v>32</v>
      </c>
      <c r="E175" s="35"/>
      <c r="G175" s="57">
        <v>41073.85</v>
      </c>
    </row>
    <row r="176" spans="2:7" s="33" customFormat="1" ht="15">
      <c r="B176" s="31"/>
      <c r="C176" s="5" t="s">
        <v>37</v>
      </c>
      <c r="D176" s="9" t="s">
        <v>9</v>
      </c>
      <c r="E176" s="35"/>
      <c r="G176" s="57">
        <f>492.78</f>
        <v>492.78</v>
      </c>
    </row>
    <row r="177" spans="2:7" ht="15">
      <c r="B177" s="11"/>
      <c r="C177" s="19"/>
      <c r="D177" s="17" t="s">
        <v>64</v>
      </c>
      <c r="E177" s="17"/>
      <c r="F177" s="21">
        <v>529092.89</v>
      </c>
      <c r="G177" s="69">
        <f>G158+G164+G170</f>
        <v>391756.63</v>
      </c>
    </row>
    <row r="178" spans="2:7" s="48" customFormat="1" ht="15">
      <c r="B178" s="47"/>
      <c r="C178" s="7" t="s">
        <v>10</v>
      </c>
      <c r="D178" s="35" t="s">
        <v>67</v>
      </c>
      <c r="E178" s="46">
        <v>42277</v>
      </c>
      <c r="F178" s="20"/>
      <c r="G178" s="61">
        <v>11547.33</v>
      </c>
    </row>
    <row r="179" spans="2:7" s="33" customFormat="1" ht="15">
      <c r="B179" s="31"/>
      <c r="C179" s="32" t="s">
        <v>10</v>
      </c>
      <c r="D179" s="12" t="s">
        <v>12</v>
      </c>
      <c r="E179" s="34"/>
      <c r="F179" s="20"/>
      <c r="G179" s="57">
        <v>6047.06</v>
      </c>
    </row>
    <row r="180" spans="2:7" s="33" customFormat="1" ht="15">
      <c r="B180" s="31"/>
      <c r="C180" s="32" t="s">
        <v>10</v>
      </c>
      <c r="D180" s="9" t="s">
        <v>9</v>
      </c>
      <c r="E180" s="34"/>
      <c r="F180" s="20"/>
      <c r="G180" s="57">
        <v>5500.27</v>
      </c>
    </row>
    <row r="181" spans="2:7" s="48" customFormat="1" ht="26.25">
      <c r="B181" s="47"/>
      <c r="C181" s="7" t="s">
        <v>17</v>
      </c>
      <c r="D181" s="35" t="s">
        <v>68</v>
      </c>
      <c r="E181" s="49">
        <v>42277</v>
      </c>
      <c r="F181" s="20"/>
      <c r="G181" s="61">
        <v>10466.62</v>
      </c>
    </row>
    <row r="182" spans="2:7" s="33" customFormat="1" ht="15">
      <c r="B182" s="31"/>
      <c r="C182" s="32" t="s">
        <v>17</v>
      </c>
      <c r="D182" s="9" t="s">
        <v>8</v>
      </c>
      <c r="E182" s="35"/>
      <c r="F182" s="20"/>
      <c r="G182" s="57">
        <v>3668.58</v>
      </c>
    </row>
    <row r="183" spans="2:7" s="33" customFormat="1" ht="15">
      <c r="B183" s="31"/>
      <c r="C183" s="32" t="s">
        <v>17</v>
      </c>
      <c r="D183" s="9" t="s">
        <v>9</v>
      </c>
      <c r="E183" s="35"/>
      <c r="F183" s="20"/>
      <c r="G183" s="57">
        <v>2292.11</v>
      </c>
    </row>
    <row r="184" spans="2:7" s="33" customFormat="1" ht="15">
      <c r="B184" s="31"/>
      <c r="C184" s="32" t="s">
        <v>17</v>
      </c>
      <c r="D184" s="12" t="s">
        <v>13</v>
      </c>
      <c r="E184" s="35"/>
      <c r="F184" s="20"/>
      <c r="G184" s="57">
        <v>1592.85</v>
      </c>
    </row>
    <row r="185" spans="2:7" s="33" customFormat="1" ht="15">
      <c r="B185" s="31"/>
      <c r="C185" s="32" t="s">
        <v>17</v>
      </c>
      <c r="D185" s="12" t="s">
        <v>14</v>
      </c>
      <c r="E185" s="35"/>
      <c r="F185" s="20"/>
      <c r="G185" s="57">
        <v>1456.54</v>
      </c>
    </row>
    <row r="186" spans="2:7" s="33" customFormat="1" ht="15">
      <c r="B186" s="31"/>
      <c r="C186" s="32" t="s">
        <v>17</v>
      </c>
      <c r="D186" s="12" t="s">
        <v>15</v>
      </c>
      <c r="E186" s="35"/>
      <c r="F186" s="20"/>
      <c r="G186" s="57">
        <v>1456.54</v>
      </c>
    </row>
    <row r="187" spans="2:7" s="48" customFormat="1" ht="26.25">
      <c r="B187" s="47"/>
      <c r="C187" s="7" t="s">
        <v>37</v>
      </c>
      <c r="D187" s="35" t="s">
        <v>63</v>
      </c>
      <c r="E187" s="49">
        <v>42277</v>
      </c>
      <c r="F187" s="20"/>
      <c r="G187" s="61">
        <v>103828.41</v>
      </c>
    </row>
    <row r="188" spans="2:7" s="33" customFormat="1" ht="15">
      <c r="B188" s="31"/>
      <c r="C188" s="5" t="s">
        <v>37</v>
      </c>
      <c r="D188" s="12" t="s">
        <v>16</v>
      </c>
      <c r="E188" s="35"/>
      <c r="F188" s="20"/>
      <c r="G188" s="57">
        <v>641</v>
      </c>
    </row>
    <row r="189" spans="2:7" s="33" customFormat="1" ht="15">
      <c r="B189" s="31"/>
      <c r="C189" s="5" t="s">
        <v>37</v>
      </c>
      <c r="D189" s="12" t="s">
        <v>14</v>
      </c>
      <c r="E189" s="35"/>
      <c r="F189" s="20"/>
      <c r="G189" s="57">
        <v>79055.6</v>
      </c>
    </row>
    <row r="190" spans="2:7" s="33" customFormat="1" ht="15">
      <c r="B190" s="31"/>
      <c r="C190" s="5" t="s">
        <v>37</v>
      </c>
      <c r="D190" s="12" t="s">
        <v>15</v>
      </c>
      <c r="E190" s="35"/>
      <c r="F190" s="20"/>
      <c r="G190" s="57">
        <v>23490.81</v>
      </c>
    </row>
    <row r="191" spans="2:7" s="33" customFormat="1" ht="15">
      <c r="B191" s="31"/>
      <c r="C191" s="5" t="s">
        <v>37</v>
      </c>
      <c r="D191" s="9" t="s">
        <v>8</v>
      </c>
      <c r="E191" s="35"/>
      <c r="F191" s="20"/>
      <c r="G191" s="57">
        <v>641</v>
      </c>
    </row>
    <row r="192" spans="2:7" ht="15">
      <c r="B192" s="11"/>
      <c r="C192" s="19"/>
      <c r="D192" s="17" t="s">
        <v>66</v>
      </c>
      <c r="E192" s="17"/>
      <c r="F192" s="21">
        <v>533222.05</v>
      </c>
      <c r="G192" s="69">
        <f>G178+G181+G187</f>
        <v>125842.36</v>
      </c>
    </row>
    <row r="193" spans="2:7" ht="15">
      <c r="B193" s="11"/>
      <c r="C193" s="16" t="s">
        <v>65</v>
      </c>
      <c r="D193" s="17"/>
      <c r="E193" s="17"/>
      <c r="F193" s="21">
        <f>F157+F177+F192</f>
        <v>1598640.4200000002</v>
      </c>
      <c r="G193" s="69">
        <f>G157+G177+G192</f>
        <v>2262933.86</v>
      </c>
    </row>
    <row r="194" spans="2:7" ht="15">
      <c r="B194" s="11"/>
      <c r="C194" s="16" t="s">
        <v>73</v>
      </c>
      <c r="D194" s="17"/>
      <c r="E194" s="17"/>
      <c r="F194" s="21">
        <f>F139+F193</f>
        <v>4813203.010000001</v>
      </c>
      <c r="G194" s="69">
        <f>G139+G193</f>
        <v>6241801.1899999995</v>
      </c>
    </row>
    <row r="195" spans="2:7" s="48" customFormat="1" ht="15">
      <c r="B195" s="47"/>
      <c r="C195" s="7" t="s">
        <v>10</v>
      </c>
      <c r="D195" s="35" t="s">
        <v>69</v>
      </c>
      <c r="E195" s="46">
        <v>42308</v>
      </c>
      <c r="F195" s="20"/>
      <c r="G195" s="61">
        <v>8663.49</v>
      </c>
    </row>
    <row r="196" spans="2:7" s="48" customFormat="1" ht="15">
      <c r="B196" s="47"/>
      <c r="C196" s="5" t="s">
        <v>10</v>
      </c>
      <c r="D196" s="9" t="s">
        <v>9</v>
      </c>
      <c r="E196" s="46"/>
      <c r="F196" s="20"/>
      <c r="G196" s="57">
        <v>8663.49</v>
      </c>
    </row>
    <row r="197" spans="2:7" s="48" customFormat="1" ht="26.25">
      <c r="B197" s="47"/>
      <c r="C197" s="7" t="s">
        <v>17</v>
      </c>
      <c r="D197" s="35" t="s">
        <v>70</v>
      </c>
      <c r="E197" s="49">
        <v>42308</v>
      </c>
      <c r="F197" s="20"/>
      <c r="G197" s="61">
        <v>4261.04</v>
      </c>
    </row>
    <row r="198" spans="2:7" s="33" customFormat="1" ht="15">
      <c r="B198" s="31"/>
      <c r="C198" s="32" t="s">
        <v>17</v>
      </c>
      <c r="D198" s="9" t="s">
        <v>8</v>
      </c>
      <c r="E198" s="35"/>
      <c r="F198" s="20"/>
      <c r="G198" s="57">
        <v>796.42</v>
      </c>
    </row>
    <row r="199" spans="2:7" s="33" customFormat="1" ht="15">
      <c r="B199" s="31"/>
      <c r="C199" s="32" t="s">
        <v>17</v>
      </c>
      <c r="D199" s="12" t="s">
        <v>12</v>
      </c>
      <c r="E199" s="35"/>
      <c r="F199" s="20"/>
      <c r="G199" s="57">
        <v>1712.5</v>
      </c>
    </row>
    <row r="200" spans="2:7" s="33" customFormat="1" ht="15">
      <c r="B200" s="31"/>
      <c r="C200" s="32" t="s">
        <v>17</v>
      </c>
      <c r="D200" s="9" t="s">
        <v>9</v>
      </c>
      <c r="E200" s="35"/>
      <c r="F200" s="20"/>
      <c r="G200" s="57">
        <v>796.42</v>
      </c>
    </row>
    <row r="201" spans="2:7" s="33" customFormat="1" ht="15">
      <c r="B201" s="31"/>
      <c r="C201" s="32" t="s">
        <v>17</v>
      </c>
      <c r="D201" s="12" t="s">
        <v>13</v>
      </c>
      <c r="E201" s="35"/>
      <c r="F201" s="20"/>
      <c r="G201" s="57">
        <v>477.85</v>
      </c>
    </row>
    <row r="202" spans="2:7" s="33" customFormat="1" ht="15">
      <c r="B202" s="31"/>
      <c r="C202" s="32" t="s">
        <v>17</v>
      </c>
      <c r="D202" s="12" t="s">
        <v>16</v>
      </c>
      <c r="E202" s="35"/>
      <c r="F202" s="20"/>
      <c r="G202" s="57">
        <v>477.85</v>
      </c>
    </row>
    <row r="203" spans="2:7" s="48" customFormat="1" ht="26.25">
      <c r="B203" s="47"/>
      <c r="C203" s="7" t="s">
        <v>37</v>
      </c>
      <c r="D203" s="35" t="s">
        <v>63</v>
      </c>
      <c r="E203" s="49">
        <v>42308</v>
      </c>
      <c r="F203" s="20"/>
      <c r="G203" s="61">
        <v>91729.14</v>
      </c>
    </row>
    <row r="204" spans="2:7" s="33" customFormat="1" ht="15">
      <c r="B204" s="31"/>
      <c r="C204" s="5" t="s">
        <v>37</v>
      </c>
      <c r="D204" s="12" t="s">
        <v>13</v>
      </c>
      <c r="E204" s="35"/>
      <c r="F204" s="20"/>
      <c r="G204" s="57">
        <v>36172.97</v>
      </c>
    </row>
    <row r="205" spans="2:7" s="33" customFormat="1" ht="15">
      <c r="B205" s="31"/>
      <c r="C205" s="5" t="s">
        <v>37</v>
      </c>
      <c r="D205" s="12" t="s">
        <v>15</v>
      </c>
      <c r="E205" s="35"/>
      <c r="F205" s="20"/>
      <c r="G205" s="57">
        <v>54247.1</v>
      </c>
    </row>
    <row r="206" spans="2:7" s="33" customFormat="1" ht="15">
      <c r="B206" s="31"/>
      <c r="C206" s="5" t="s">
        <v>37</v>
      </c>
      <c r="D206" s="12" t="s">
        <v>12</v>
      </c>
      <c r="E206" s="35"/>
      <c r="F206" s="20"/>
      <c r="G206" s="57">
        <v>1309.07</v>
      </c>
    </row>
    <row r="207" spans="2:7" ht="15">
      <c r="B207" s="11"/>
      <c r="C207" s="16"/>
      <c r="D207" s="17" t="s">
        <v>71</v>
      </c>
      <c r="E207" s="17"/>
      <c r="F207" s="21">
        <v>528838.88</v>
      </c>
      <c r="G207" s="69">
        <f>G195+G197+G203</f>
        <v>104653.67</v>
      </c>
    </row>
    <row r="208" spans="2:7" s="51" customFormat="1" ht="15">
      <c r="B208" s="50"/>
      <c r="C208" s="7" t="s">
        <v>37</v>
      </c>
      <c r="D208" s="35" t="s">
        <v>76</v>
      </c>
      <c r="E208" s="49">
        <v>42338</v>
      </c>
      <c r="F208" s="20"/>
      <c r="G208" s="61">
        <v>94234.43</v>
      </c>
    </row>
    <row r="209" spans="2:7" s="51" customFormat="1" ht="15">
      <c r="B209" s="50"/>
      <c r="C209" s="5" t="s">
        <v>37</v>
      </c>
      <c r="D209" s="12" t="s">
        <v>13</v>
      </c>
      <c r="E209" s="49"/>
      <c r="F209" s="20"/>
      <c r="G209" s="57">
        <v>94234.43</v>
      </c>
    </row>
    <row r="210" spans="2:7" ht="15">
      <c r="B210" s="11"/>
      <c r="C210" s="16"/>
      <c r="D210" s="17" t="s">
        <v>74</v>
      </c>
      <c r="E210" s="17"/>
      <c r="F210" s="21">
        <v>525203.4</v>
      </c>
      <c r="G210" s="69">
        <f>SUM(G208)</f>
        <v>94234.43</v>
      </c>
    </row>
    <row r="211" spans="2:7" ht="15">
      <c r="B211" s="11"/>
      <c r="C211" s="7" t="s">
        <v>17</v>
      </c>
      <c r="D211" s="35" t="s">
        <v>85</v>
      </c>
      <c r="E211" s="34"/>
      <c r="F211" s="20"/>
      <c r="G211" s="73">
        <v>3258.15</v>
      </c>
    </row>
    <row r="212" spans="2:7" ht="15">
      <c r="B212" s="11"/>
      <c r="C212" s="5" t="s">
        <v>17</v>
      </c>
      <c r="D212" s="9" t="s">
        <v>9</v>
      </c>
      <c r="E212" s="34"/>
      <c r="F212" s="20"/>
      <c r="G212" s="72">
        <v>192.22</v>
      </c>
    </row>
    <row r="213" spans="2:7" ht="15">
      <c r="B213" s="11"/>
      <c r="C213" s="5" t="s">
        <v>17</v>
      </c>
      <c r="D213" s="9" t="s">
        <v>8</v>
      </c>
      <c r="E213" s="34"/>
      <c r="F213" s="20"/>
      <c r="G213" s="72">
        <v>3065.93</v>
      </c>
    </row>
    <row r="214" spans="2:7" ht="15">
      <c r="B214" s="11"/>
      <c r="C214" s="16"/>
      <c r="D214" s="17" t="s">
        <v>75</v>
      </c>
      <c r="E214" s="17"/>
      <c r="F214" s="21">
        <v>536212.5</v>
      </c>
      <c r="G214" s="69">
        <v>3258.15</v>
      </c>
    </row>
    <row r="215" spans="2:7" ht="15">
      <c r="B215" s="11"/>
      <c r="C215" s="24"/>
      <c r="D215" s="34"/>
      <c r="E215" s="34"/>
      <c r="F215" s="20"/>
      <c r="G215" s="61"/>
    </row>
    <row r="216" spans="2:7" ht="15">
      <c r="B216" s="11"/>
      <c r="C216" s="16" t="s">
        <v>72</v>
      </c>
      <c r="D216" s="17"/>
      <c r="E216" s="17"/>
      <c r="F216" s="21">
        <f>F207+F210+F214</f>
        <v>1590254.78</v>
      </c>
      <c r="G216" s="69">
        <f>G207+G210+G214</f>
        <v>202146.24999999997</v>
      </c>
    </row>
    <row r="217" spans="2:7" s="26" customFormat="1" ht="15">
      <c r="B217" s="23"/>
      <c r="C217" s="24" t="s">
        <v>57</v>
      </c>
      <c r="D217" s="23"/>
      <c r="E217" s="23"/>
      <c r="F217" s="25">
        <f>F194+F216</f>
        <v>6403457.790000001</v>
      </c>
      <c r="G217" s="62">
        <f>G194+G216</f>
        <v>6443947.4399999995</v>
      </c>
    </row>
    <row r="218" ht="16.5" customHeight="1"/>
    <row r="219" spans="4:6" ht="15">
      <c r="D219" s="26"/>
      <c r="E219" s="26"/>
      <c r="F219" s="26"/>
    </row>
    <row r="220" ht="15">
      <c r="C220" t="s">
        <v>79</v>
      </c>
    </row>
    <row r="221" spans="4:7" ht="15">
      <c r="D221" s="9" t="s">
        <v>23</v>
      </c>
      <c r="F221" s="42"/>
      <c r="G221" s="54">
        <v>252655.62</v>
      </c>
    </row>
    <row r="222" spans="4:7" ht="15">
      <c r="D222" s="9" t="s">
        <v>22</v>
      </c>
      <c r="F222" s="42"/>
      <c r="G222" s="54">
        <v>1854209.49</v>
      </c>
    </row>
    <row r="223" spans="4:7" ht="15">
      <c r="D223" s="9" t="s">
        <v>28</v>
      </c>
      <c r="F223" s="42"/>
      <c r="G223" s="54">
        <v>927181.44</v>
      </c>
    </row>
    <row r="224" spans="4:7" ht="15">
      <c r="D224" s="9" t="s">
        <v>80</v>
      </c>
      <c r="F224" s="42"/>
      <c r="G224" s="54">
        <v>934093.48</v>
      </c>
    </row>
    <row r="225" spans="4:7" ht="15">
      <c r="D225" s="9" t="s">
        <v>13</v>
      </c>
      <c r="F225" s="42"/>
      <c r="G225" s="54">
        <v>1161749.51</v>
      </c>
    </row>
    <row r="226" spans="4:7" ht="15">
      <c r="D226" s="9" t="s">
        <v>14</v>
      </c>
      <c r="F226" s="42"/>
      <c r="G226" s="54">
        <v>482189.48</v>
      </c>
    </row>
    <row r="227" spans="4:7" ht="15">
      <c r="D227" s="9" t="s">
        <v>15</v>
      </c>
      <c r="F227" s="42"/>
      <c r="G227" s="54">
        <v>456505.75</v>
      </c>
    </row>
    <row r="228" spans="4:7" ht="15">
      <c r="D228" s="9" t="s">
        <v>16</v>
      </c>
      <c r="F228" s="42"/>
      <c r="G228" s="54">
        <v>375362.67</v>
      </c>
    </row>
    <row r="229" spans="4:6" ht="15">
      <c r="D229" s="71"/>
      <c r="F229" s="42"/>
    </row>
    <row r="230" spans="6:7" ht="15">
      <c r="F230" s="43"/>
      <c r="G230" s="70">
        <f>SUBTOTAL(9,G221:G229)</f>
        <v>6443947.4399999995</v>
      </c>
    </row>
    <row r="232" ht="21" customHeight="1"/>
    <row r="233" spans="4:6" ht="39.75" customHeight="1">
      <c r="D233" s="28"/>
      <c r="E233" s="30"/>
      <c r="F233" s="27"/>
    </row>
    <row r="235" spans="5:6" ht="15">
      <c r="E235" s="33"/>
      <c r="F235" s="33"/>
    </row>
    <row r="236" spans="5:6" ht="15">
      <c r="E236" s="33"/>
      <c r="F236" s="33"/>
    </row>
  </sheetData>
  <sheetProtection/>
  <autoFilter ref="B6:G214"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А</cp:lastModifiedBy>
  <cp:lastPrinted>2016-08-02T11:28:51Z</cp:lastPrinted>
  <dcterms:created xsi:type="dcterms:W3CDTF">2015-07-16T09:48:39Z</dcterms:created>
  <dcterms:modified xsi:type="dcterms:W3CDTF">2016-08-02T11:29:23Z</dcterms:modified>
  <cp:category/>
  <cp:version/>
  <cp:contentType/>
  <cp:contentStatus/>
</cp:coreProperties>
</file>